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NS REC BOD\"/>
    </mc:Choice>
  </mc:AlternateContent>
  <xr:revisionPtr revIDLastSave="0" documentId="13_ncr:1_{29044762-389C-4F51-AA47-551561D92A9F}" xr6:coauthVersionLast="47" xr6:coauthVersionMax="47" xr10:uidLastSave="{00000000-0000-0000-0000-000000000000}"/>
  <bookViews>
    <workbookView xWindow="-38670" yWindow="3795" windowWidth="37845" windowHeight="20340" tabRatio="850" firstSheet="1" activeTab="1" xr2:uid="{4335EAE3-DE34-4026-8B9B-4ADB8BADB498}"/>
  </bookViews>
  <sheets>
    <sheet name="Questions" sheetId="5" r:id="rId1"/>
    <sheet name="Income Statement" sheetId="1" r:id="rId2"/>
    <sheet name="Prior Budget Comparison" sheetId="11" r:id="rId3"/>
    <sheet name="State Income Statement" sheetId="17" r:id="rId4"/>
    <sheet name="Current Year IS" sheetId="22" r:id="rId5"/>
    <sheet name="SCH A Expense Schedules" sheetId="10" r:id="rId6"/>
    <sheet name="Sch B Loan" sheetId="16" r:id="rId7"/>
    <sheet name="Sch C Cash Flows" sheetId="15" r:id="rId8"/>
    <sheet name="Sch D Employee Compensation" sheetId="14" r:id="rId9"/>
    <sheet name="Sch F Fee Schedule" sheetId="23" r:id="rId10"/>
    <sheet name="Sch G Scholarship Distribution" sheetId="24" r:id="rId11"/>
    <sheet name="Sch H Rap Tax Interest" sheetId="26" r:id="rId12"/>
    <sheet name="Sch I Property Tax Income" sheetId="27" r:id="rId13"/>
    <sheet name="Sch E Program Summary" sheetId="9" r:id="rId14"/>
    <sheet name="Sch F Program Exp by Month" sheetId="25" r:id="rId15"/>
    <sheet name="Mar Youth Volleyball" sheetId="13" r:id="rId16"/>
    <sheet name="Apr-May Flag Football" sheetId="3" r:id="rId17"/>
    <sheet name="May-Jun Baseball &amp; Softball" sheetId="4" r:id="rId18"/>
    <sheet name="Group Training-April" sheetId="18" r:id="rId19"/>
    <sheet name="Equestrian May to Aug" sheetId="2" r:id="rId20"/>
    <sheet name="Aug-Sep Soccer" sheetId="7" r:id="rId21"/>
    <sheet name="Dec-Feb Basketball" sheetId="8" r:id="rId22"/>
    <sheet name="Nov 3on3 Basketball" sheetId="21" r:id="rId23"/>
    <sheet name="Jun-Adult Volleyball" sheetId="19" r:id="rId24"/>
    <sheet name="Jun-Basketball Camp" sheetId="20" r:id="rId25"/>
    <sheet name="Jul-Sep Tackle Football" sheetId="6" r:id="rId26"/>
  </sheets>
  <externalReferences>
    <externalReference r:id="rId27"/>
  </externalReferences>
  <definedNames>
    <definedName name="_xlnm.Print_Area" localSheetId="16">'Apr-May Flag Football'!$A$1:$E$53</definedName>
    <definedName name="_xlnm.Print_Area" localSheetId="20">'Aug-Sep Soccer'!$A$1:$E$46</definedName>
    <definedName name="_xlnm.Print_Area" localSheetId="21">'Dec-Feb Basketball'!$A$1:$E$53</definedName>
    <definedName name="_xlnm.Print_Area" localSheetId="19">'Equestrian May to Aug'!$A$1:$E$45</definedName>
    <definedName name="_xlnm.Print_Area" localSheetId="18">'Group Training-April'!$A$1:$E$55</definedName>
    <definedName name="_xlnm.Print_Area" localSheetId="1">'Income Statement'!$A$1:$V$61</definedName>
    <definedName name="_xlnm.Print_Area" localSheetId="25">'Jul-Sep Tackle Football'!$A$1:$E$46</definedName>
    <definedName name="_xlnm.Print_Area" localSheetId="23">'Jun-Adult Volleyball'!$A$1:$E$45</definedName>
    <definedName name="_xlnm.Print_Area" localSheetId="24">'Jun-Basketball Camp'!$A$1:$E$54</definedName>
    <definedName name="_xlnm.Print_Area" localSheetId="15">'Mar Youth Volleyball'!$A$1:$E$79</definedName>
    <definedName name="_xlnm.Print_Area" localSheetId="17">'May-Jun Baseball &amp; Softball'!$A$1:$E$52</definedName>
    <definedName name="_xlnm.Print_Area" localSheetId="22">'Nov 3on3 Basketball'!$A$1:$E$51</definedName>
    <definedName name="_xlnm.Print_Area" localSheetId="2">'Prior Budget Comparison'!$A$1:$F$61</definedName>
    <definedName name="_xlnm.Print_Area" localSheetId="0">Questions!$A$1:$B$42</definedName>
    <definedName name="_xlnm.Print_Area" localSheetId="5">'SCH A Expense Schedules'!$A$1:$N$31</definedName>
    <definedName name="_xlnm.Print_Area" localSheetId="7">'Sch C Cash Flows'!$A$1:$P$20</definedName>
    <definedName name="_xlnm.Print_Area" localSheetId="13">'Sch E Program Summary'!$A$1:$Y$21</definedName>
    <definedName name="_xlnm.Print_Area" localSheetId="9">'Sch F Fee Schedule'!$A$1:$G$57</definedName>
    <definedName name="_xlnm.Print_Titles" localSheetId="1">'Income Statement'!$1:$5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4" l="1"/>
  <c r="U49" i="1"/>
  <c r="T49" i="1"/>
  <c r="S49" i="1"/>
  <c r="R49" i="1"/>
  <c r="Q49" i="1"/>
  <c r="P49" i="1"/>
  <c r="O49" i="1"/>
  <c r="N49" i="1"/>
  <c r="M49" i="1"/>
  <c r="L49" i="1"/>
  <c r="K49" i="1"/>
  <c r="J49" i="1"/>
  <c r="U35" i="1"/>
  <c r="S35" i="1"/>
  <c r="M35" i="1"/>
  <c r="L35" i="1"/>
  <c r="M4" i="27"/>
  <c r="L4" i="27"/>
  <c r="T35" i="1" s="1"/>
  <c r="K4" i="27"/>
  <c r="J4" i="27"/>
  <c r="R35" i="1" s="1"/>
  <c r="I4" i="27"/>
  <c r="Q35" i="1" s="1"/>
  <c r="H4" i="27"/>
  <c r="P35" i="1" s="1"/>
  <c r="G4" i="27"/>
  <c r="O35" i="1" s="1"/>
  <c r="F4" i="27"/>
  <c r="N35" i="1" s="1"/>
  <c r="E4" i="27"/>
  <c r="D4" i="27"/>
  <c r="C4" i="27"/>
  <c r="K35" i="1" s="1"/>
  <c r="B4" i="27"/>
  <c r="J35" i="1" s="1"/>
  <c r="F53" i="11"/>
  <c r="F52" i="11"/>
  <c r="F51" i="11"/>
  <c r="F47" i="11"/>
  <c r="F42" i="11"/>
  <c r="F35" i="11"/>
  <c r="F23" i="11"/>
  <c r="F22" i="11"/>
  <c r="F9" i="11"/>
  <c r="E53" i="11"/>
  <c r="E52" i="11"/>
  <c r="E51" i="11"/>
  <c r="E47" i="11"/>
  <c r="E42" i="11"/>
  <c r="E35" i="11"/>
  <c r="E9" i="11"/>
  <c r="E22" i="11"/>
  <c r="E23" i="11"/>
  <c r="X43" i="1"/>
  <c r="U43" i="1"/>
  <c r="T43" i="1"/>
  <c r="S43" i="1"/>
  <c r="R43" i="1"/>
  <c r="Q43" i="1"/>
  <c r="P43" i="1"/>
  <c r="O43" i="1"/>
  <c r="N43" i="1"/>
  <c r="M43" i="1"/>
  <c r="L43" i="1"/>
  <c r="K43" i="1"/>
  <c r="J43" i="1"/>
  <c r="X23" i="1"/>
  <c r="X54" i="1"/>
  <c r="J54" i="1"/>
  <c r="X53" i="1"/>
  <c r="U53" i="1"/>
  <c r="T53" i="1"/>
  <c r="S53" i="1"/>
  <c r="R53" i="1"/>
  <c r="Q53" i="1"/>
  <c r="P53" i="1"/>
  <c r="O53" i="1"/>
  <c r="N53" i="1"/>
  <c r="M53" i="1"/>
  <c r="L53" i="1"/>
  <c r="K53" i="1"/>
  <c r="J53" i="1"/>
  <c r="N13" i="16"/>
  <c r="M13" i="16"/>
  <c r="L13" i="16"/>
  <c r="K13" i="16"/>
  <c r="J13" i="16"/>
  <c r="I13" i="16"/>
  <c r="H13" i="16"/>
  <c r="G13" i="16"/>
  <c r="F13" i="16"/>
  <c r="E13" i="16"/>
  <c r="D13" i="16"/>
  <c r="C13" i="16"/>
  <c r="U50" i="1"/>
  <c r="T50" i="1"/>
  <c r="S50" i="1"/>
  <c r="R50" i="1"/>
  <c r="Q50" i="1"/>
  <c r="P50" i="1"/>
  <c r="O50" i="1"/>
  <c r="N50" i="1"/>
  <c r="M50" i="1"/>
  <c r="L50" i="1"/>
  <c r="K50" i="1"/>
  <c r="J50" i="1"/>
  <c r="N38" i="10"/>
  <c r="G18" i="14"/>
  <c r="P44" i="1" s="1"/>
  <c r="U37" i="1"/>
  <c r="M37" i="1"/>
  <c r="K37" i="1"/>
  <c r="M7" i="26"/>
  <c r="L7" i="26"/>
  <c r="T37" i="1" s="1"/>
  <c r="K7" i="26"/>
  <c r="S37" i="1" s="1"/>
  <c r="J7" i="26"/>
  <c r="R37" i="1" s="1"/>
  <c r="I7" i="26"/>
  <c r="Q37" i="1" s="1"/>
  <c r="H7" i="26"/>
  <c r="P37" i="1" s="1"/>
  <c r="G7" i="26"/>
  <c r="O37" i="1" s="1"/>
  <c r="F7" i="26"/>
  <c r="N37" i="1" s="1"/>
  <c r="E7" i="26"/>
  <c r="D7" i="26"/>
  <c r="L37" i="1" s="1"/>
  <c r="C7" i="26"/>
  <c r="B7" i="26"/>
  <c r="J37" i="1" s="1"/>
  <c r="X24" i="1"/>
  <c r="E90" i="8"/>
  <c r="C80" i="8"/>
  <c r="B87" i="6"/>
  <c r="B86" i="6"/>
  <c r="B85" i="6"/>
  <c r="B80" i="8"/>
  <c r="B79" i="8"/>
  <c r="B90" i="8"/>
  <c r="B87" i="7"/>
  <c r="B86" i="7"/>
  <c r="B84" i="4"/>
  <c r="B83" i="4"/>
  <c r="B82" i="18"/>
  <c r="C82" i="18"/>
  <c r="D82" i="18"/>
  <c r="E82" i="18"/>
  <c r="F82" i="18"/>
  <c r="B83" i="3"/>
  <c r="B82" i="3"/>
  <c r="U25" i="1"/>
  <c r="T25" i="1"/>
  <c r="S25" i="1"/>
  <c r="R25" i="1"/>
  <c r="Q25" i="1"/>
  <c r="P25" i="1"/>
  <c r="O25" i="1"/>
  <c r="N25" i="1"/>
  <c r="M25" i="1"/>
  <c r="L25" i="1"/>
  <c r="K25" i="1"/>
  <c r="J25" i="1"/>
  <c r="N37" i="10"/>
  <c r="U24" i="1"/>
  <c r="T24" i="1"/>
  <c r="S24" i="1"/>
  <c r="R24" i="1"/>
  <c r="Q24" i="1"/>
  <c r="P24" i="1"/>
  <c r="O24" i="1"/>
  <c r="N24" i="1"/>
  <c r="M24" i="1"/>
  <c r="L24" i="1"/>
  <c r="K24" i="1"/>
  <c r="J24" i="1"/>
  <c r="M14" i="10"/>
  <c r="L14" i="10"/>
  <c r="K14" i="10"/>
  <c r="J14" i="10"/>
  <c r="I14" i="10"/>
  <c r="H14" i="10"/>
  <c r="G14" i="10"/>
  <c r="F14" i="10"/>
  <c r="E14" i="10"/>
  <c r="D14" i="10"/>
  <c r="C14" i="10"/>
  <c r="B14" i="10"/>
  <c r="N35" i="10"/>
  <c r="M30" i="10"/>
  <c r="L30" i="10"/>
  <c r="K30" i="10"/>
  <c r="J30" i="10"/>
  <c r="I30" i="10"/>
  <c r="H30" i="10"/>
  <c r="G30" i="10"/>
  <c r="F30" i="10"/>
  <c r="E30" i="10"/>
  <c r="D30" i="10"/>
  <c r="C30" i="10"/>
  <c r="B30" i="10"/>
  <c r="N36" i="10"/>
  <c r="M23" i="10"/>
  <c r="L23" i="10"/>
  <c r="K23" i="10"/>
  <c r="J23" i="10"/>
  <c r="I23" i="10"/>
  <c r="H23" i="10"/>
  <c r="G23" i="10"/>
  <c r="F23" i="10"/>
  <c r="E23" i="10"/>
  <c r="D23" i="10"/>
  <c r="C23" i="10"/>
  <c r="B23" i="10"/>
  <c r="X10" i="1"/>
  <c r="Q41" i="25" a="1"/>
  <c r="Q41" i="25" s="1"/>
  <c r="F85" i="6"/>
  <c r="E85" i="6"/>
  <c r="D85" i="6"/>
  <c r="C85" i="6"/>
  <c r="F92" i="6"/>
  <c r="E92" i="6"/>
  <c r="D92" i="6"/>
  <c r="G93" i="20"/>
  <c r="F84" i="20"/>
  <c r="E84" i="20"/>
  <c r="D84" i="20"/>
  <c r="C84" i="20"/>
  <c r="B84" i="20"/>
  <c r="E92" i="20"/>
  <c r="C92" i="20"/>
  <c r="F92" i="20"/>
  <c r="D92" i="20"/>
  <c r="B92" i="20"/>
  <c r="G92" i="20" s="1"/>
  <c r="F84" i="19"/>
  <c r="E84" i="19"/>
  <c r="D84" i="19"/>
  <c r="C84" i="19"/>
  <c r="B84" i="19"/>
  <c r="E92" i="19"/>
  <c r="F92" i="19"/>
  <c r="D92" i="19"/>
  <c r="B92" i="19"/>
  <c r="G93" i="21"/>
  <c r="F89" i="21"/>
  <c r="E89" i="21"/>
  <c r="D89" i="21"/>
  <c r="C89" i="21"/>
  <c r="B89" i="21"/>
  <c r="B92" i="21"/>
  <c r="F92" i="21"/>
  <c r="E92" i="21"/>
  <c r="D92" i="21"/>
  <c r="F90" i="8"/>
  <c r="F92" i="8" s="1"/>
  <c r="E92" i="8"/>
  <c r="D92" i="8"/>
  <c r="C92" i="8"/>
  <c r="F86" i="7"/>
  <c r="F92" i="7" s="1"/>
  <c r="E92" i="7"/>
  <c r="D92" i="7"/>
  <c r="C92" i="7"/>
  <c r="B92" i="7"/>
  <c r="F83" i="2"/>
  <c r="F92" i="2"/>
  <c r="E92" i="2"/>
  <c r="D92" i="2"/>
  <c r="C92" i="2"/>
  <c r="B92" i="2"/>
  <c r="F92" i="18"/>
  <c r="E92" i="18"/>
  <c r="D92" i="18"/>
  <c r="C92" i="18"/>
  <c r="B92" i="18"/>
  <c r="F83" i="4"/>
  <c r="F92" i="4" s="1"/>
  <c r="E92" i="4"/>
  <c r="D92" i="4"/>
  <c r="C92" i="4"/>
  <c r="B92" i="4"/>
  <c r="F92" i="3"/>
  <c r="F82" i="3"/>
  <c r="G93" i="13"/>
  <c r="G92" i="13"/>
  <c r="F92" i="13"/>
  <c r="F81" i="13"/>
  <c r="E81" i="13"/>
  <c r="D81" i="13"/>
  <c r="C81" i="13"/>
  <c r="B81" i="13"/>
  <c r="E82" i="3"/>
  <c r="D82" i="3"/>
  <c r="C82" i="3"/>
  <c r="E83" i="4"/>
  <c r="D83" i="4"/>
  <c r="C83" i="4"/>
  <c r="E83" i="2"/>
  <c r="D83" i="2"/>
  <c r="C83" i="2"/>
  <c r="B83" i="2"/>
  <c r="E86" i="7"/>
  <c r="D86" i="7"/>
  <c r="C86" i="7"/>
  <c r="E92" i="13"/>
  <c r="E44" i="2"/>
  <c r="E43" i="2"/>
  <c r="D3" i="24"/>
  <c r="E3" i="24" s="1"/>
  <c r="G16" i="14"/>
  <c r="I16" i="14" s="1"/>
  <c r="G61" i="23"/>
  <c r="G60" i="23"/>
  <c r="G57" i="23"/>
  <c r="G56" i="23"/>
  <c r="G53" i="23"/>
  <c r="G50" i="23"/>
  <c r="G49" i="23"/>
  <c r="G48" i="23"/>
  <c r="G47" i="23"/>
  <c r="G46" i="23"/>
  <c r="G43" i="23"/>
  <c r="G42" i="23"/>
  <c r="G41" i="23"/>
  <c r="G40" i="23"/>
  <c r="G39" i="23"/>
  <c r="G36" i="23"/>
  <c r="G35" i="23"/>
  <c r="G34" i="23"/>
  <c r="G33" i="23"/>
  <c r="G28" i="23"/>
  <c r="G25" i="23"/>
  <c r="G24" i="23"/>
  <c r="G23" i="23"/>
  <c r="G20" i="23"/>
  <c r="G19" i="23"/>
  <c r="G18" i="23"/>
  <c r="G17" i="23"/>
  <c r="G14" i="23"/>
  <c r="G13" i="23"/>
  <c r="G12" i="23"/>
  <c r="G11" i="23"/>
  <c r="F61" i="23"/>
  <c r="F60" i="23"/>
  <c r="F57" i="23"/>
  <c r="F56" i="23"/>
  <c r="F53" i="23"/>
  <c r="F50" i="23"/>
  <c r="F49" i="23"/>
  <c r="F48" i="23"/>
  <c r="F47" i="23"/>
  <c r="F46" i="23"/>
  <c r="F43" i="23"/>
  <c r="F42" i="23"/>
  <c r="F41" i="23"/>
  <c r="F40" i="23"/>
  <c r="F39" i="23"/>
  <c r="F36" i="23"/>
  <c r="F35" i="23"/>
  <c r="F34" i="23"/>
  <c r="F33" i="23"/>
  <c r="F28" i="23"/>
  <c r="F25" i="23"/>
  <c r="F24" i="23"/>
  <c r="F23" i="23"/>
  <c r="F20" i="23"/>
  <c r="F19" i="23"/>
  <c r="F18" i="23"/>
  <c r="F17" i="23"/>
  <c r="F14" i="23"/>
  <c r="F13" i="23"/>
  <c r="F12" i="23"/>
  <c r="F11" i="23"/>
  <c r="E61" i="23"/>
  <c r="E60" i="23"/>
  <c r="B61" i="23"/>
  <c r="B60" i="23"/>
  <c r="A59" i="23"/>
  <c r="E57" i="23"/>
  <c r="E56" i="23"/>
  <c r="B57" i="23"/>
  <c r="B56" i="23"/>
  <c r="A55" i="23"/>
  <c r="E53" i="23"/>
  <c r="B53" i="23"/>
  <c r="A52" i="23"/>
  <c r="E50" i="23"/>
  <c r="E49" i="23"/>
  <c r="E48" i="23"/>
  <c r="E47" i="23"/>
  <c r="E46" i="23"/>
  <c r="B50" i="23"/>
  <c r="B49" i="23"/>
  <c r="B48" i="23"/>
  <c r="B47" i="23"/>
  <c r="B46" i="23"/>
  <c r="A45" i="23"/>
  <c r="E43" i="23"/>
  <c r="E42" i="23"/>
  <c r="E41" i="23"/>
  <c r="E40" i="23"/>
  <c r="E39" i="23"/>
  <c r="B43" i="23"/>
  <c r="B42" i="23"/>
  <c r="B41" i="23"/>
  <c r="B40" i="23"/>
  <c r="B39" i="23"/>
  <c r="A38" i="23"/>
  <c r="E36" i="23"/>
  <c r="E35" i="23"/>
  <c r="E34" i="23"/>
  <c r="E33" i="23"/>
  <c r="B36" i="23"/>
  <c r="B35" i="23"/>
  <c r="B34" i="23"/>
  <c r="B33" i="23"/>
  <c r="A32" i="23"/>
  <c r="E28" i="23"/>
  <c r="B28" i="23"/>
  <c r="A27" i="23"/>
  <c r="E25" i="23"/>
  <c r="E24" i="23"/>
  <c r="E23" i="23"/>
  <c r="B25" i="23"/>
  <c r="B24" i="23"/>
  <c r="B23" i="23"/>
  <c r="A22" i="23"/>
  <c r="E20" i="23"/>
  <c r="E19" i="23"/>
  <c r="E18" i="23"/>
  <c r="E17" i="23"/>
  <c r="B20" i="23"/>
  <c r="B19" i="23"/>
  <c r="B18" i="23"/>
  <c r="B17" i="23"/>
  <c r="A16" i="23"/>
  <c r="B8" i="23"/>
  <c r="B7" i="23"/>
  <c r="B14" i="23"/>
  <c r="B13" i="23"/>
  <c r="B12" i="23"/>
  <c r="B11" i="23"/>
  <c r="E14" i="23"/>
  <c r="E13" i="23"/>
  <c r="E12" i="23"/>
  <c r="E11" i="23"/>
  <c r="A10" i="23"/>
  <c r="A6" i="23"/>
  <c r="E8" i="23"/>
  <c r="F8" i="23" s="1"/>
  <c r="G8" i="23" s="1"/>
  <c r="E7" i="23"/>
  <c r="F7" i="23" s="1"/>
  <c r="G7" i="23" s="1"/>
  <c r="N111" i="25"/>
  <c r="J110" i="25"/>
  <c r="F109" i="25"/>
  <c r="N107" i="25"/>
  <c r="C109" i="25"/>
  <c r="K107" i="25"/>
  <c r="N108" i="25"/>
  <c r="M111" i="25"/>
  <c r="I110" i="25"/>
  <c r="E109" i="25"/>
  <c r="M107" i="25"/>
  <c r="G110" i="25"/>
  <c r="J111" i="25"/>
  <c r="J107" i="25"/>
  <c r="L111" i="25"/>
  <c r="H110" i="25"/>
  <c r="D109" i="25"/>
  <c r="L107" i="25"/>
  <c r="K111" i="25"/>
  <c r="F110" i="25"/>
  <c r="I111" i="25"/>
  <c r="E110" i="25"/>
  <c r="M108" i="25"/>
  <c r="I107" i="25"/>
  <c r="G109" i="25"/>
  <c r="H111" i="25"/>
  <c r="D110" i="25"/>
  <c r="L108" i="25"/>
  <c r="H107" i="25"/>
  <c r="I108" i="25"/>
  <c r="C108" i="25"/>
  <c r="G111" i="25"/>
  <c r="C110" i="25"/>
  <c r="K108" i="25"/>
  <c r="G107" i="25"/>
  <c r="M109" i="25"/>
  <c r="F111" i="25"/>
  <c r="N109" i="25"/>
  <c r="J108" i="25"/>
  <c r="F107" i="25"/>
  <c r="E111" i="25"/>
  <c r="E107" i="25"/>
  <c r="D111" i="25"/>
  <c r="L109" i="25"/>
  <c r="H108" i="25"/>
  <c r="D107" i="25"/>
  <c r="N110" i="25"/>
  <c r="J109" i="25"/>
  <c r="F108" i="25"/>
  <c r="C111" i="25"/>
  <c r="K109" i="25"/>
  <c r="G108" i="25"/>
  <c r="M110" i="25"/>
  <c r="I109" i="25"/>
  <c r="E108" i="25"/>
  <c r="L110" i="25"/>
  <c r="H109" i="25"/>
  <c r="D108" i="25"/>
  <c r="K110" i="25"/>
  <c r="C107" i="25"/>
  <c r="N102" i="25"/>
  <c r="J101" i="25"/>
  <c r="F100" i="25"/>
  <c r="N98" i="25"/>
  <c r="C100" i="25"/>
  <c r="J102" i="25"/>
  <c r="E101" i="25"/>
  <c r="M102" i="25"/>
  <c r="I101" i="25"/>
  <c r="E100" i="25"/>
  <c r="M98" i="25"/>
  <c r="G101" i="25"/>
  <c r="F101" i="25"/>
  <c r="L102" i="25"/>
  <c r="H101" i="25"/>
  <c r="D100" i="25"/>
  <c r="L98" i="25"/>
  <c r="K102" i="25"/>
  <c r="K98" i="25"/>
  <c r="N99" i="25"/>
  <c r="M99" i="25"/>
  <c r="H102" i="25"/>
  <c r="D101" i="25"/>
  <c r="L99" i="25"/>
  <c r="H98" i="25"/>
  <c r="I99" i="25"/>
  <c r="L100" i="25"/>
  <c r="N101" i="25"/>
  <c r="G102" i="25"/>
  <c r="C101" i="25"/>
  <c r="K99" i="25"/>
  <c r="G98" i="25"/>
  <c r="E102" i="25"/>
  <c r="E98" i="25"/>
  <c r="H99" i="25"/>
  <c r="F99" i="25"/>
  <c r="F102" i="25"/>
  <c r="N100" i="25"/>
  <c r="J99" i="25"/>
  <c r="F98" i="25"/>
  <c r="M100" i="25"/>
  <c r="D102" i="25"/>
  <c r="D98" i="25"/>
  <c r="J100" i="25"/>
  <c r="C102" i="25"/>
  <c r="K100" i="25"/>
  <c r="G99" i="25"/>
  <c r="M101" i="25"/>
  <c r="I100" i="25"/>
  <c r="E99" i="25"/>
  <c r="G100" i="25"/>
  <c r="J98" i="25"/>
  <c r="I98" i="25"/>
  <c r="L101" i="25"/>
  <c r="H100" i="25"/>
  <c r="D99" i="25"/>
  <c r="K101" i="25"/>
  <c r="C99" i="25"/>
  <c r="I102" i="25"/>
  <c r="C98" i="25"/>
  <c r="N93" i="25"/>
  <c r="J92" i="25"/>
  <c r="F91" i="25"/>
  <c r="N89" i="25"/>
  <c r="C91" i="25"/>
  <c r="F92" i="25"/>
  <c r="M93" i="25"/>
  <c r="I92" i="25"/>
  <c r="E91" i="25"/>
  <c r="M89" i="25"/>
  <c r="G92" i="25"/>
  <c r="K89" i="25"/>
  <c r="N90" i="25"/>
  <c r="L93" i="25"/>
  <c r="H92" i="25"/>
  <c r="D91" i="25"/>
  <c r="L89" i="25"/>
  <c r="K93" i="25"/>
  <c r="J93" i="25"/>
  <c r="J89" i="25"/>
  <c r="I93" i="25"/>
  <c r="E92" i="25"/>
  <c r="M90" i="25"/>
  <c r="I89" i="25"/>
  <c r="I90" i="25"/>
  <c r="C90" i="25"/>
  <c r="H93" i="25"/>
  <c r="D92" i="25"/>
  <c r="L90" i="25"/>
  <c r="H89" i="25"/>
  <c r="E89" i="25"/>
  <c r="G91" i="25"/>
  <c r="G93" i="25"/>
  <c r="C92" i="25"/>
  <c r="K90" i="25"/>
  <c r="G89" i="25"/>
  <c r="M91" i="25"/>
  <c r="F93" i="25"/>
  <c r="N91" i="25"/>
  <c r="J90" i="25"/>
  <c r="F89" i="25"/>
  <c r="E93" i="25"/>
  <c r="F90" i="25"/>
  <c r="D93" i="25"/>
  <c r="L91" i="25"/>
  <c r="H90" i="25"/>
  <c r="D89" i="25"/>
  <c r="N92" i="25"/>
  <c r="J91" i="25"/>
  <c r="C93" i="25"/>
  <c r="K91" i="25"/>
  <c r="G90" i="25"/>
  <c r="M92" i="25"/>
  <c r="I91" i="25"/>
  <c r="E90" i="25"/>
  <c r="L92" i="25"/>
  <c r="H91" i="25"/>
  <c r="D90" i="25"/>
  <c r="K92" i="25"/>
  <c r="C89" i="25"/>
  <c r="N84" i="25"/>
  <c r="J83" i="25"/>
  <c r="F82" i="25"/>
  <c r="N80" i="25"/>
  <c r="C82" i="25"/>
  <c r="K80" i="25"/>
  <c r="M84" i="25"/>
  <c r="I83" i="25"/>
  <c r="E82" i="25"/>
  <c r="M80" i="25"/>
  <c r="G83" i="25"/>
  <c r="J82" i="25"/>
  <c r="L84" i="25"/>
  <c r="H83" i="25"/>
  <c r="D82" i="25"/>
  <c r="L80" i="25"/>
  <c r="K84" i="25"/>
  <c r="C81" i="25"/>
  <c r="J84" i="25"/>
  <c r="F83" i="25"/>
  <c r="N81" i="25"/>
  <c r="J80" i="25"/>
  <c r="I84" i="25"/>
  <c r="E83" i="25"/>
  <c r="M81" i="25"/>
  <c r="I80" i="25"/>
  <c r="N83" i="25"/>
  <c r="H84" i="25"/>
  <c r="D83" i="25"/>
  <c r="L81" i="25"/>
  <c r="H80" i="25"/>
  <c r="D80" i="25"/>
  <c r="G82" i="25"/>
  <c r="G84" i="25"/>
  <c r="C83" i="25"/>
  <c r="K81" i="25"/>
  <c r="G80" i="25"/>
  <c r="H81" i="25"/>
  <c r="F84" i="25"/>
  <c r="N82" i="25"/>
  <c r="J81" i="25"/>
  <c r="F80" i="25"/>
  <c r="L82" i="25"/>
  <c r="F81" i="25"/>
  <c r="E84" i="25"/>
  <c r="M82" i="25"/>
  <c r="I81" i="25"/>
  <c r="E80" i="25"/>
  <c r="D84" i="25"/>
  <c r="C84" i="25"/>
  <c r="K82" i="25"/>
  <c r="G81" i="25"/>
  <c r="M83" i="25"/>
  <c r="I82" i="25"/>
  <c r="E81" i="25"/>
  <c r="L83" i="25"/>
  <c r="H82" i="25"/>
  <c r="D81" i="25"/>
  <c r="K83" i="25"/>
  <c r="C80" i="25"/>
  <c r="N75" i="25"/>
  <c r="J74" i="25"/>
  <c r="F73" i="25"/>
  <c r="N71" i="25"/>
  <c r="G74" i="25"/>
  <c r="K71" i="25"/>
  <c r="M75" i="25"/>
  <c r="I74" i="25"/>
  <c r="E73" i="25"/>
  <c r="M71" i="25"/>
  <c r="K75" i="25"/>
  <c r="L75" i="25"/>
  <c r="H74" i="25"/>
  <c r="D73" i="25"/>
  <c r="L71" i="25"/>
  <c r="C73" i="25"/>
  <c r="I71" i="25"/>
  <c r="J75" i="25"/>
  <c r="F74" i="25"/>
  <c r="N72" i="25"/>
  <c r="J71" i="25"/>
  <c r="I75" i="25"/>
  <c r="E74" i="25"/>
  <c r="M72" i="25"/>
  <c r="H75" i="25"/>
  <c r="D74" i="25"/>
  <c r="L72" i="25"/>
  <c r="H71" i="25"/>
  <c r="M73" i="25"/>
  <c r="G75" i="25"/>
  <c r="C74" i="25"/>
  <c r="K72" i="25"/>
  <c r="G71" i="25"/>
  <c r="I72" i="25"/>
  <c r="F75" i="25"/>
  <c r="N73" i="25"/>
  <c r="J72" i="25"/>
  <c r="F71" i="25"/>
  <c r="E75" i="25"/>
  <c r="E71" i="25"/>
  <c r="D75" i="25"/>
  <c r="L73" i="25"/>
  <c r="H72" i="25"/>
  <c r="D71" i="25"/>
  <c r="J73" i="25"/>
  <c r="C75" i="25"/>
  <c r="K73" i="25"/>
  <c r="G72" i="25"/>
  <c r="N74" i="25"/>
  <c r="F72" i="25"/>
  <c r="M74" i="25"/>
  <c r="I73" i="25"/>
  <c r="E72" i="25"/>
  <c r="G73" i="25"/>
  <c r="L74" i="25"/>
  <c r="H73" i="25"/>
  <c r="D72" i="25"/>
  <c r="K74" i="25"/>
  <c r="C72" i="25"/>
  <c r="C71" i="25"/>
  <c r="N66" i="25"/>
  <c r="J65" i="25"/>
  <c r="F64" i="25"/>
  <c r="N62" i="25"/>
  <c r="C64" i="25"/>
  <c r="K62" i="25"/>
  <c r="M66" i="25"/>
  <c r="I65" i="25"/>
  <c r="E64" i="25"/>
  <c r="M62" i="25"/>
  <c r="G65" i="25"/>
  <c r="I62" i="25"/>
  <c r="L66" i="25"/>
  <c r="H65" i="25"/>
  <c r="D64" i="25"/>
  <c r="L62" i="25"/>
  <c r="K66" i="25"/>
  <c r="J66" i="25"/>
  <c r="F65" i="25"/>
  <c r="N63" i="25"/>
  <c r="J62" i="25"/>
  <c r="I66" i="25"/>
  <c r="E65" i="25"/>
  <c r="M63" i="25"/>
  <c r="H66" i="25"/>
  <c r="D65" i="25"/>
  <c r="L63" i="25"/>
  <c r="H62" i="25"/>
  <c r="I63" i="25"/>
  <c r="G66" i="25"/>
  <c r="C65" i="25"/>
  <c r="K63" i="25"/>
  <c r="G62" i="25"/>
  <c r="M64" i="25"/>
  <c r="F66" i="25"/>
  <c r="N64" i="25"/>
  <c r="J63" i="25"/>
  <c r="F62" i="25"/>
  <c r="E66" i="25"/>
  <c r="E62" i="25"/>
  <c r="D66" i="25"/>
  <c r="L64" i="25"/>
  <c r="H63" i="25"/>
  <c r="D62" i="25"/>
  <c r="J64" i="25"/>
  <c r="C66" i="25"/>
  <c r="K64" i="25"/>
  <c r="G63" i="25"/>
  <c r="N65" i="25"/>
  <c r="F63" i="25"/>
  <c r="M65" i="25"/>
  <c r="I64" i="25"/>
  <c r="E63" i="25"/>
  <c r="G64" i="25"/>
  <c r="L65" i="25"/>
  <c r="H64" i="25"/>
  <c r="D63" i="25"/>
  <c r="K65" i="25"/>
  <c r="C63" i="25"/>
  <c r="C62" i="25"/>
  <c r="N57" i="25"/>
  <c r="J56" i="25"/>
  <c r="F55" i="25"/>
  <c r="N53" i="25"/>
  <c r="J53" i="25"/>
  <c r="M57" i="25"/>
  <c r="I56" i="25"/>
  <c r="E55" i="25"/>
  <c r="M53" i="25"/>
  <c r="F56" i="25"/>
  <c r="L57" i="25"/>
  <c r="H56" i="25"/>
  <c r="D55" i="25"/>
  <c r="L53" i="25"/>
  <c r="N54" i="25"/>
  <c r="M54" i="25"/>
  <c r="K57" i="25"/>
  <c r="G56" i="25"/>
  <c r="C55" i="25"/>
  <c r="K53" i="25"/>
  <c r="J57" i="25"/>
  <c r="H57" i="25"/>
  <c r="D56" i="25"/>
  <c r="L54" i="25"/>
  <c r="H53" i="25"/>
  <c r="I54" i="25"/>
  <c r="D57" i="25"/>
  <c r="D53" i="25"/>
  <c r="G57" i="25"/>
  <c r="C56" i="25"/>
  <c r="K54" i="25"/>
  <c r="G53" i="25"/>
  <c r="M55" i="25"/>
  <c r="L55" i="25"/>
  <c r="F57" i="25"/>
  <c r="N55" i="25"/>
  <c r="J54" i="25"/>
  <c r="F53" i="25"/>
  <c r="E57" i="25"/>
  <c r="E53" i="25"/>
  <c r="H54" i="25"/>
  <c r="C57" i="25"/>
  <c r="K55" i="25"/>
  <c r="G54" i="25"/>
  <c r="C54" i="25"/>
  <c r="I57" i="25"/>
  <c r="N56" i="25"/>
  <c r="J55" i="25"/>
  <c r="F54" i="25"/>
  <c r="I53" i="25"/>
  <c r="M56" i="25"/>
  <c r="I55" i="25"/>
  <c r="E54" i="25"/>
  <c r="G55" i="25"/>
  <c r="L56" i="25"/>
  <c r="H55" i="25"/>
  <c r="D54" i="25"/>
  <c r="K56" i="25"/>
  <c r="E56" i="25"/>
  <c r="C53" i="25"/>
  <c r="N48" i="25"/>
  <c r="J47" i="25"/>
  <c r="F46" i="25"/>
  <c r="N44" i="25"/>
  <c r="C46" i="25"/>
  <c r="K44" i="25"/>
  <c r="M48" i="25"/>
  <c r="I47" i="25"/>
  <c r="E46" i="25"/>
  <c r="M44" i="25"/>
  <c r="G47" i="25"/>
  <c r="L48" i="25"/>
  <c r="H47" i="25"/>
  <c r="D46" i="25"/>
  <c r="L44" i="25"/>
  <c r="K48" i="25"/>
  <c r="I44" i="25"/>
  <c r="J48" i="25"/>
  <c r="F47" i="25"/>
  <c r="N45" i="25"/>
  <c r="J44" i="25"/>
  <c r="I48" i="25"/>
  <c r="E47" i="25"/>
  <c r="M45" i="25"/>
  <c r="H48" i="25"/>
  <c r="D47" i="25"/>
  <c r="L45" i="25"/>
  <c r="H44" i="25"/>
  <c r="I45" i="25"/>
  <c r="G48" i="25"/>
  <c r="C47" i="25"/>
  <c r="K45" i="25"/>
  <c r="G44" i="25"/>
  <c r="M46" i="25"/>
  <c r="K47" i="25"/>
  <c r="F48" i="25"/>
  <c r="N46" i="25"/>
  <c r="J45" i="25"/>
  <c r="F44" i="25"/>
  <c r="E48" i="25"/>
  <c r="E44" i="25"/>
  <c r="C45" i="25"/>
  <c r="D48" i="25"/>
  <c r="L46" i="25"/>
  <c r="H45" i="25"/>
  <c r="D44" i="25"/>
  <c r="J46" i="25"/>
  <c r="C48" i="25"/>
  <c r="K46" i="25"/>
  <c r="G45" i="25"/>
  <c r="N47" i="25"/>
  <c r="F45" i="25"/>
  <c r="M47" i="25"/>
  <c r="I46" i="25"/>
  <c r="E45" i="25"/>
  <c r="L47" i="25"/>
  <c r="H46" i="25"/>
  <c r="D45" i="25"/>
  <c r="G46" i="25"/>
  <c r="C44" i="25"/>
  <c r="J39" i="25"/>
  <c r="F38" i="25"/>
  <c r="N36" i="25"/>
  <c r="J35" i="25"/>
  <c r="I39" i="25"/>
  <c r="E38" i="25"/>
  <c r="M36" i="25"/>
  <c r="F35" i="25"/>
  <c r="M37" i="25"/>
  <c r="H39" i="25"/>
  <c r="D38" i="25"/>
  <c r="L36" i="25"/>
  <c r="H35" i="25"/>
  <c r="G39" i="25"/>
  <c r="C38" i="25"/>
  <c r="K36" i="25"/>
  <c r="G35" i="25"/>
  <c r="F39" i="25"/>
  <c r="E39" i="25"/>
  <c r="C39" i="25"/>
  <c r="K37" i="25"/>
  <c r="G36" i="25"/>
  <c r="M38" i="25"/>
  <c r="E36" i="25"/>
  <c r="L38" i="25"/>
  <c r="D36" i="25"/>
  <c r="I36" i="25"/>
  <c r="H36" i="25"/>
  <c r="N38" i="25"/>
  <c r="J37" i="25"/>
  <c r="F36" i="25"/>
  <c r="I37" i="25"/>
  <c r="H37" i="25"/>
  <c r="D35" i="25"/>
  <c r="K38" i="25"/>
  <c r="G37" i="25"/>
  <c r="C36" i="25"/>
  <c r="N39" i="25"/>
  <c r="J38" i="25"/>
  <c r="F37" i="25"/>
  <c r="N35" i="25"/>
  <c r="E35" i="25"/>
  <c r="L37" i="25"/>
  <c r="M39" i="25"/>
  <c r="I38" i="25"/>
  <c r="E37" i="25"/>
  <c r="M35" i="25"/>
  <c r="G38" i="25"/>
  <c r="K35" i="25"/>
  <c r="N37" i="25"/>
  <c r="D39" i="25"/>
  <c r="L39" i="25"/>
  <c r="H38" i="25"/>
  <c r="D37" i="25"/>
  <c r="L35" i="25"/>
  <c r="K39" i="25"/>
  <c r="C37" i="25"/>
  <c r="I35" i="25"/>
  <c r="J36" i="25"/>
  <c r="C35" i="25"/>
  <c r="I30" i="25"/>
  <c r="E29" i="25"/>
  <c r="M27" i="25"/>
  <c r="I26" i="25"/>
  <c r="G30" i="25"/>
  <c r="C29" i="25"/>
  <c r="G26" i="25"/>
  <c r="F30" i="25"/>
  <c r="N28" i="25"/>
  <c r="F26" i="25"/>
  <c r="I27" i="25"/>
  <c r="H30" i="25"/>
  <c r="D29" i="25"/>
  <c r="L27" i="25"/>
  <c r="H26" i="25"/>
  <c r="K27" i="25"/>
  <c r="J27" i="25"/>
  <c r="E30" i="25"/>
  <c r="D30" i="25"/>
  <c r="L28" i="25"/>
  <c r="H27" i="25"/>
  <c r="D26" i="25"/>
  <c r="N29" i="25"/>
  <c r="J28" i="25"/>
  <c r="M29" i="25"/>
  <c r="E27" i="25"/>
  <c r="L29" i="25"/>
  <c r="H28" i="25"/>
  <c r="C30" i="25"/>
  <c r="K28" i="25"/>
  <c r="G27" i="25"/>
  <c r="F27" i="25"/>
  <c r="I28" i="25"/>
  <c r="D27" i="25"/>
  <c r="K29" i="25"/>
  <c r="G28" i="25"/>
  <c r="C27" i="25"/>
  <c r="N30" i="25"/>
  <c r="J29" i="25"/>
  <c r="F28" i="25"/>
  <c r="N26" i="25"/>
  <c r="N27" i="25"/>
  <c r="M28" i="25"/>
  <c r="M30" i="25"/>
  <c r="I29" i="25"/>
  <c r="E28" i="25"/>
  <c r="M26" i="25"/>
  <c r="G29" i="25"/>
  <c r="K26" i="25"/>
  <c r="J30" i="25"/>
  <c r="J26" i="25"/>
  <c r="E26" i="25"/>
  <c r="L30" i="25"/>
  <c r="H29" i="25"/>
  <c r="D28" i="25"/>
  <c r="L26" i="25"/>
  <c r="K30" i="25"/>
  <c r="C28" i="25"/>
  <c r="F29" i="25"/>
  <c r="C26" i="25"/>
  <c r="N21" i="25"/>
  <c r="J20" i="25"/>
  <c r="F19" i="25"/>
  <c r="N17" i="25"/>
  <c r="C19" i="25"/>
  <c r="F20" i="25"/>
  <c r="M21" i="25"/>
  <c r="I20" i="25"/>
  <c r="E19" i="25"/>
  <c r="M17" i="25"/>
  <c r="G20" i="25"/>
  <c r="J21" i="25"/>
  <c r="L21" i="25"/>
  <c r="H20" i="25"/>
  <c r="D19" i="25"/>
  <c r="L17" i="25"/>
  <c r="K21" i="25"/>
  <c r="K17" i="25"/>
  <c r="N18" i="25"/>
  <c r="I21" i="25"/>
  <c r="E20" i="25"/>
  <c r="M18" i="25"/>
  <c r="I17" i="25"/>
  <c r="H21" i="25"/>
  <c r="D20" i="25"/>
  <c r="L18" i="25"/>
  <c r="H17" i="25"/>
  <c r="I18" i="25"/>
  <c r="G21" i="25"/>
  <c r="C20" i="25"/>
  <c r="K18" i="25"/>
  <c r="G17" i="25"/>
  <c r="M19" i="25"/>
  <c r="F21" i="25"/>
  <c r="N19" i="25"/>
  <c r="J18" i="25"/>
  <c r="F17" i="25"/>
  <c r="E21" i="25"/>
  <c r="D21" i="25"/>
  <c r="L19" i="25"/>
  <c r="H18" i="25"/>
  <c r="N20" i="25"/>
  <c r="F18" i="25"/>
  <c r="C21" i="25"/>
  <c r="K19" i="25"/>
  <c r="G18" i="25"/>
  <c r="J19" i="25"/>
  <c r="J17" i="25"/>
  <c r="M20" i="25"/>
  <c r="I19" i="25"/>
  <c r="E18" i="25"/>
  <c r="G19" i="25"/>
  <c r="C18" i="25"/>
  <c r="L20" i="25"/>
  <c r="H19" i="25"/>
  <c r="D18" i="25"/>
  <c r="K20" i="25"/>
  <c r="E17" i="25"/>
  <c r="D17" i="25"/>
  <c r="C17" i="25"/>
  <c r="U44" i="1" l="1"/>
  <c r="J44" i="1"/>
  <c r="O44" i="1"/>
  <c r="T44" i="1"/>
  <c r="K44" i="1"/>
  <c r="L44" i="1"/>
  <c r="M44" i="1"/>
  <c r="Q44" i="1"/>
  <c r="R44" i="1"/>
  <c r="S44" i="1"/>
  <c r="N44" i="1"/>
  <c r="N7" i="26"/>
  <c r="O13" i="16"/>
  <c r="V24" i="1"/>
  <c r="B92" i="8"/>
  <c r="D6" i="25"/>
  <c r="K16" i="1" s="1"/>
  <c r="E6" i="25"/>
  <c r="L16" i="1" s="1"/>
  <c r="K9" i="25"/>
  <c r="R22" i="1" s="1"/>
  <c r="D7" i="25"/>
  <c r="K17" i="1" s="1"/>
  <c r="H8" i="25"/>
  <c r="O18" i="1" s="1"/>
  <c r="L9" i="25"/>
  <c r="S22" i="1" s="1"/>
  <c r="C7" i="25"/>
  <c r="J17" i="1" s="1"/>
  <c r="G8" i="25"/>
  <c r="N18" i="1" s="1"/>
  <c r="E7" i="25"/>
  <c r="L17" i="1" s="1"/>
  <c r="I8" i="25"/>
  <c r="P18" i="1" s="1"/>
  <c r="M9" i="25"/>
  <c r="T22" i="1" s="1"/>
  <c r="J6" i="25"/>
  <c r="Q16" i="1" s="1"/>
  <c r="J8" i="25"/>
  <c r="Q18" i="1" s="1"/>
  <c r="G7" i="25"/>
  <c r="N17" i="1" s="1"/>
  <c r="K8" i="25"/>
  <c r="R18" i="1" s="1"/>
  <c r="C10" i="25"/>
  <c r="J26" i="1" s="1"/>
  <c r="F7" i="25"/>
  <c r="M17" i="1" s="1"/>
  <c r="N9" i="25"/>
  <c r="U22" i="1" s="1"/>
  <c r="H7" i="25"/>
  <c r="O17" i="1" s="1"/>
  <c r="L8" i="25"/>
  <c r="S18" i="1" s="1"/>
  <c r="D10" i="25"/>
  <c r="K26" i="1" s="1"/>
  <c r="E10" i="25"/>
  <c r="L26" i="1" s="1"/>
  <c r="F6" i="25"/>
  <c r="M16" i="1" s="1"/>
  <c r="J7" i="25"/>
  <c r="Q17" i="1" s="1"/>
  <c r="N8" i="25"/>
  <c r="U18" i="1" s="1"/>
  <c r="F10" i="25"/>
  <c r="M26" i="1" s="1"/>
  <c r="M8" i="25"/>
  <c r="T18" i="1" s="1"/>
  <c r="G6" i="25"/>
  <c r="N16" i="1" s="1"/>
  <c r="K7" i="25"/>
  <c r="R17" i="1" s="1"/>
  <c r="C9" i="25"/>
  <c r="J22" i="1" s="1"/>
  <c r="G10" i="25"/>
  <c r="N26" i="1" s="1"/>
  <c r="I7" i="25"/>
  <c r="P17" i="1" s="1"/>
  <c r="H6" i="25"/>
  <c r="O16" i="1" s="1"/>
  <c r="L7" i="25"/>
  <c r="S17" i="1" s="1"/>
  <c r="D9" i="25"/>
  <c r="K22" i="1" s="1"/>
  <c r="H10" i="25"/>
  <c r="O26" i="1" s="1"/>
  <c r="I6" i="25"/>
  <c r="P16" i="1" s="1"/>
  <c r="M7" i="25"/>
  <c r="T17" i="1" s="1"/>
  <c r="E9" i="25"/>
  <c r="L22" i="1" s="1"/>
  <c r="I10" i="25"/>
  <c r="P26" i="1" s="1"/>
  <c r="N7" i="25"/>
  <c r="U17" i="1" s="1"/>
  <c r="K6" i="25"/>
  <c r="R16" i="1" s="1"/>
  <c r="K10" i="25"/>
  <c r="R26" i="1" s="1"/>
  <c r="L6" i="25"/>
  <c r="S16" i="1" s="1"/>
  <c r="D8" i="25"/>
  <c r="K18" i="1" s="1"/>
  <c r="H9" i="25"/>
  <c r="O22" i="1" s="1"/>
  <c r="L10" i="25"/>
  <c r="S26" i="1" s="1"/>
  <c r="J10" i="25"/>
  <c r="Q26" i="1" s="1"/>
  <c r="G9" i="25"/>
  <c r="N22" i="1" s="1"/>
  <c r="M6" i="25"/>
  <c r="T16" i="1" s="1"/>
  <c r="E8" i="25"/>
  <c r="L18" i="1" s="1"/>
  <c r="I9" i="25"/>
  <c r="P22" i="1" s="1"/>
  <c r="M10" i="25"/>
  <c r="T26" i="1" s="1"/>
  <c r="F9" i="25"/>
  <c r="M22" i="1" s="1"/>
  <c r="C8" i="25"/>
  <c r="J18" i="1" s="1"/>
  <c r="N6" i="25"/>
  <c r="U16" i="1" s="1"/>
  <c r="F8" i="25"/>
  <c r="M18" i="1" s="1"/>
  <c r="J9" i="25"/>
  <c r="Q22" i="1" s="1"/>
  <c r="N10" i="25"/>
  <c r="U26" i="1" s="1"/>
  <c r="C6" i="25"/>
  <c r="M112" i="25"/>
  <c r="N112" i="25"/>
  <c r="L112" i="25"/>
  <c r="C112" i="25"/>
  <c r="D112" i="25"/>
  <c r="K112" i="25"/>
  <c r="E112" i="25"/>
  <c r="F112" i="25"/>
  <c r="G112" i="25"/>
  <c r="H112" i="25"/>
  <c r="I112" i="25"/>
  <c r="J112" i="25"/>
  <c r="L103" i="25"/>
  <c r="M103" i="25"/>
  <c r="N103" i="25"/>
  <c r="C103" i="25"/>
  <c r="D103" i="25"/>
  <c r="E103" i="25"/>
  <c r="K103" i="25"/>
  <c r="F103" i="25"/>
  <c r="G103" i="25"/>
  <c r="H103" i="25"/>
  <c r="I103" i="25"/>
  <c r="J103" i="25"/>
  <c r="L94" i="25"/>
  <c r="M94" i="25"/>
  <c r="K94" i="25"/>
  <c r="N94" i="25"/>
  <c r="C94" i="25"/>
  <c r="D94" i="25"/>
  <c r="E94" i="25"/>
  <c r="F94" i="25"/>
  <c r="G94" i="25"/>
  <c r="H94" i="25"/>
  <c r="I94" i="25"/>
  <c r="J94" i="25"/>
  <c r="L85" i="25"/>
  <c r="N85" i="25"/>
  <c r="K85" i="25"/>
  <c r="M85" i="25"/>
  <c r="C85" i="25"/>
  <c r="D85" i="25"/>
  <c r="E85" i="25"/>
  <c r="F85" i="25"/>
  <c r="H85" i="25"/>
  <c r="G85" i="25"/>
  <c r="I85" i="25"/>
  <c r="J85" i="25"/>
  <c r="L76" i="25"/>
  <c r="K76" i="25"/>
  <c r="M76" i="25"/>
  <c r="N76" i="25"/>
  <c r="C76" i="25"/>
  <c r="D76" i="25"/>
  <c r="F76" i="25"/>
  <c r="H76" i="25"/>
  <c r="G76" i="25"/>
  <c r="I76" i="25"/>
  <c r="E76" i="25"/>
  <c r="J76" i="25"/>
  <c r="K67" i="25"/>
  <c r="L67" i="25"/>
  <c r="M67" i="25"/>
  <c r="N67" i="25"/>
  <c r="C67" i="25"/>
  <c r="F67" i="25"/>
  <c r="D67" i="25"/>
  <c r="E67" i="25"/>
  <c r="H67" i="25"/>
  <c r="G67" i="25"/>
  <c r="I67" i="25"/>
  <c r="J67" i="25"/>
  <c r="L58" i="25"/>
  <c r="M58" i="25"/>
  <c r="K58" i="25"/>
  <c r="N58" i="25"/>
  <c r="C58" i="25"/>
  <c r="D58" i="25"/>
  <c r="E58" i="25"/>
  <c r="F58" i="25"/>
  <c r="G58" i="25"/>
  <c r="H58" i="25"/>
  <c r="I58" i="25"/>
  <c r="J58" i="25"/>
  <c r="C49" i="25"/>
  <c r="D49" i="25"/>
  <c r="E49" i="25"/>
  <c r="F49" i="25"/>
  <c r="G49" i="25"/>
  <c r="H49" i="25"/>
  <c r="J49" i="25"/>
  <c r="I49" i="25"/>
  <c r="L49" i="25"/>
  <c r="M49" i="25"/>
  <c r="K49" i="25"/>
  <c r="N49" i="25"/>
  <c r="C40" i="25"/>
  <c r="I40" i="25"/>
  <c r="L40" i="25"/>
  <c r="K40" i="25"/>
  <c r="M40" i="25"/>
  <c r="E40" i="25"/>
  <c r="N40" i="25"/>
  <c r="D40" i="25"/>
  <c r="G40" i="25"/>
  <c r="H40" i="25"/>
  <c r="F40" i="25"/>
  <c r="J40" i="25"/>
  <c r="C31" i="25"/>
  <c r="L31" i="25"/>
  <c r="E31" i="25"/>
  <c r="J31" i="25"/>
  <c r="K31" i="25"/>
  <c r="M31" i="25"/>
  <c r="N31" i="25"/>
  <c r="D31" i="25"/>
  <c r="H31" i="25"/>
  <c r="F31" i="25"/>
  <c r="G31" i="25"/>
  <c r="I31" i="25"/>
  <c r="D22" i="25"/>
  <c r="E22" i="25"/>
  <c r="J22" i="25"/>
  <c r="F22" i="25"/>
  <c r="G22" i="25"/>
  <c r="H22" i="25"/>
  <c r="I22" i="25"/>
  <c r="K22" i="25"/>
  <c r="L22" i="25"/>
  <c r="M22" i="25"/>
  <c r="N22" i="25"/>
  <c r="C22" i="25"/>
  <c r="B92" i="6"/>
  <c r="C92" i="6"/>
  <c r="C92" i="19"/>
  <c r="G92" i="19" s="1"/>
  <c r="G93" i="19" s="1"/>
  <c r="C92" i="21"/>
  <c r="G92" i="21" s="1"/>
  <c r="G92" i="8"/>
  <c r="G93" i="8" s="1"/>
  <c r="G92" i="7"/>
  <c r="G93" i="7" s="1"/>
  <c r="G92" i="2"/>
  <c r="G93" i="2" s="1"/>
  <c r="G92" i="18"/>
  <c r="G93" i="18" s="1"/>
  <c r="G92" i="4"/>
  <c r="G93" i="4" s="1"/>
  <c r="E92" i="3"/>
  <c r="C92" i="3"/>
  <c r="D92" i="3"/>
  <c r="B92" i="3"/>
  <c r="G92" i="3" s="1"/>
  <c r="G93" i="3" s="1"/>
  <c r="D92" i="13"/>
  <c r="C92" i="13"/>
  <c r="B92" i="13"/>
  <c r="Y18" i="9"/>
  <c r="W18" i="9"/>
  <c r="U18" i="9"/>
  <c r="S18" i="9"/>
  <c r="O18" i="9"/>
  <c r="M18" i="9"/>
  <c r="K18" i="9"/>
  <c r="I18" i="9"/>
  <c r="G18" i="9"/>
  <c r="E18" i="9"/>
  <c r="C18" i="9"/>
  <c r="A18" i="9"/>
  <c r="E54" i="6"/>
  <c r="E45" i="6"/>
  <c r="E44" i="6"/>
  <c r="E43" i="6"/>
  <c r="E48" i="6" s="1"/>
  <c r="E40" i="6"/>
  <c r="B21" i="6"/>
  <c r="E10" i="6" s="1"/>
  <c r="E16" i="6"/>
  <c r="E15" i="6"/>
  <c r="Y17" i="9"/>
  <c r="W17" i="9"/>
  <c r="U17" i="9"/>
  <c r="Y16" i="9"/>
  <c r="W16" i="9"/>
  <c r="U16" i="9"/>
  <c r="Y15" i="9"/>
  <c r="W15" i="9"/>
  <c r="U15" i="9"/>
  <c r="Y14" i="9"/>
  <c r="W14" i="9"/>
  <c r="U14" i="9"/>
  <c r="U13" i="9"/>
  <c r="U12" i="9"/>
  <c r="Y11" i="9"/>
  <c r="W11" i="9"/>
  <c r="U11" i="9"/>
  <c r="U9" i="9"/>
  <c r="U10" i="9"/>
  <c r="U8" i="9"/>
  <c r="S17" i="9"/>
  <c r="S16" i="9"/>
  <c r="S15" i="9"/>
  <c r="S14" i="9"/>
  <c r="S13" i="9"/>
  <c r="S12" i="9"/>
  <c r="S11" i="9"/>
  <c r="S10" i="9"/>
  <c r="S9" i="9"/>
  <c r="S8" i="9"/>
  <c r="G16" i="9"/>
  <c r="E47" i="20"/>
  <c r="E46" i="20"/>
  <c r="E16" i="9"/>
  <c r="C16" i="9"/>
  <c r="A16" i="9"/>
  <c r="E55" i="20"/>
  <c r="E45" i="20"/>
  <c r="E50" i="20" s="1"/>
  <c r="E44" i="20"/>
  <c r="E43" i="20"/>
  <c r="E40" i="20"/>
  <c r="B21" i="20"/>
  <c r="E31" i="20" s="1"/>
  <c r="E16" i="20"/>
  <c r="E15" i="20"/>
  <c r="I15" i="9"/>
  <c r="G15" i="9"/>
  <c r="E15" i="9"/>
  <c r="C15" i="9"/>
  <c r="E32" i="19"/>
  <c r="B21" i="19"/>
  <c r="E53" i="19"/>
  <c r="E48" i="19"/>
  <c r="E44" i="19"/>
  <c r="E43" i="19"/>
  <c r="E40" i="19"/>
  <c r="E15" i="19"/>
  <c r="I17" i="9"/>
  <c r="G17" i="9"/>
  <c r="K17" i="9" s="1"/>
  <c r="O17" i="9" s="1"/>
  <c r="Q17" i="9" s="1"/>
  <c r="B21" i="21"/>
  <c r="E18" i="21"/>
  <c r="E19" i="21"/>
  <c r="E17" i="9"/>
  <c r="C17" i="9"/>
  <c r="A17" i="9"/>
  <c r="E53" i="21"/>
  <c r="E48" i="21"/>
  <c r="E45" i="21"/>
  <c r="E44" i="21"/>
  <c r="E43" i="21"/>
  <c r="E40" i="21"/>
  <c r="E10" i="21"/>
  <c r="E17" i="21"/>
  <c r="E16" i="21"/>
  <c r="E15" i="21"/>
  <c r="I14" i="9"/>
  <c r="G14" i="9"/>
  <c r="E31" i="8"/>
  <c r="E19" i="8"/>
  <c r="E14" i="9"/>
  <c r="C14" i="9"/>
  <c r="A14" i="9"/>
  <c r="E54" i="8"/>
  <c r="E46" i="8"/>
  <c r="E49" i="8" s="1"/>
  <c r="E45" i="8"/>
  <c r="E44" i="8"/>
  <c r="E41" i="8"/>
  <c r="B21" i="8"/>
  <c r="E18" i="8"/>
  <c r="E17" i="8"/>
  <c r="E16" i="8"/>
  <c r="E15" i="8"/>
  <c r="E15" i="2"/>
  <c r="G13" i="9"/>
  <c r="E13" i="9"/>
  <c r="C13" i="9"/>
  <c r="A13" i="9"/>
  <c r="E38" i="7"/>
  <c r="E37" i="7"/>
  <c r="E53" i="7"/>
  <c r="E44" i="7"/>
  <c r="E43" i="7"/>
  <c r="E40" i="7"/>
  <c r="B21" i="7"/>
  <c r="E31" i="7" s="1"/>
  <c r="E18" i="7"/>
  <c r="E17" i="7"/>
  <c r="E16" i="7"/>
  <c r="E21" i="7" s="1"/>
  <c r="E26" i="7" s="1"/>
  <c r="E15" i="7"/>
  <c r="E9" i="9"/>
  <c r="C9" i="9"/>
  <c r="A9" i="9"/>
  <c r="E54" i="2"/>
  <c r="E48" i="2"/>
  <c r="E40" i="2"/>
  <c r="B21" i="2"/>
  <c r="I11" i="9"/>
  <c r="G12" i="9"/>
  <c r="E12" i="9"/>
  <c r="C12" i="9"/>
  <c r="A12" i="9"/>
  <c r="E11" i="9"/>
  <c r="C11" i="9"/>
  <c r="A11" i="9"/>
  <c r="E8" i="9"/>
  <c r="C8" i="9"/>
  <c r="E10" i="9"/>
  <c r="C10" i="9"/>
  <c r="A10" i="9"/>
  <c r="A8" i="9"/>
  <c r="E56" i="18"/>
  <c r="E44" i="18"/>
  <c r="E43" i="18"/>
  <c r="E48" i="18" s="1"/>
  <c r="E40" i="18"/>
  <c r="B21" i="18"/>
  <c r="E31" i="18" s="1"/>
  <c r="E18" i="18"/>
  <c r="E17" i="18"/>
  <c r="E16" i="18"/>
  <c r="E15" i="18"/>
  <c r="G11" i="9"/>
  <c r="E53" i="4"/>
  <c r="E45" i="4"/>
  <c r="E44" i="4"/>
  <c r="E43" i="4"/>
  <c r="E40" i="4"/>
  <c r="B21" i="4"/>
  <c r="E31" i="4" s="1"/>
  <c r="E18" i="4"/>
  <c r="E17" i="4"/>
  <c r="E16" i="4"/>
  <c r="E15" i="4"/>
  <c r="E10" i="4"/>
  <c r="G10" i="9"/>
  <c r="G8" i="9"/>
  <c r="E8" i="3"/>
  <c r="E53" i="3"/>
  <c r="E43" i="3"/>
  <c r="E48" i="3" s="1"/>
  <c r="E40" i="3"/>
  <c r="E31" i="3"/>
  <c r="E10" i="3"/>
  <c r="E10" i="13"/>
  <c r="E18" i="3"/>
  <c r="E17" i="3"/>
  <c r="E16" i="3"/>
  <c r="E21" i="3"/>
  <c r="E26" i="3" s="1"/>
  <c r="B21" i="3"/>
  <c r="E15" i="3"/>
  <c r="B20" i="13"/>
  <c r="E30" i="13" s="1"/>
  <c r="E11" i="25" l="1"/>
  <c r="O10" i="25"/>
  <c r="O9" i="25"/>
  <c r="O8" i="25"/>
  <c r="O7" i="25"/>
  <c r="J16" i="1"/>
  <c r="O6" i="25"/>
  <c r="K11" i="25"/>
  <c r="H11" i="25"/>
  <c r="M11" i="25"/>
  <c r="G11" i="25"/>
  <c r="C11" i="25"/>
  <c r="L11" i="25"/>
  <c r="D11" i="25"/>
  <c r="J11" i="25"/>
  <c r="I11" i="25"/>
  <c r="F11" i="25"/>
  <c r="N11" i="25"/>
  <c r="G92" i="6"/>
  <c r="G93" i="6" s="1"/>
  <c r="R10" i="1"/>
  <c r="Q10" i="1"/>
  <c r="P10" i="1"/>
  <c r="O10" i="1"/>
  <c r="N10" i="1"/>
  <c r="M10" i="1"/>
  <c r="L10" i="1"/>
  <c r="K10" i="1"/>
  <c r="U10" i="1"/>
  <c r="J10" i="1"/>
  <c r="T10" i="1"/>
  <c r="S10" i="1"/>
  <c r="Q18" i="9"/>
  <c r="E21" i="6"/>
  <c r="E26" i="6" s="1"/>
  <c r="K14" i="9"/>
  <c r="K15" i="9"/>
  <c r="O15" i="9" s="1"/>
  <c r="K11" i="9"/>
  <c r="E10" i="20"/>
  <c r="E34" i="20"/>
  <c r="E57" i="20" s="1"/>
  <c r="E21" i="20"/>
  <c r="E26" i="20" s="1"/>
  <c r="E10" i="19"/>
  <c r="E34" i="19"/>
  <c r="E55" i="19" s="1"/>
  <c r="E9" i="19" s="1"/>
  <c r="E21" i="19"/>
  <c r="E26" i="19" s="1"/>
  <c r="E31" i="21"/>
  <c r="E21" i="21"/>
  <c r="E26" i="21" s="1"/>
  <c r="E8" i="21" s="1"/>
  <c r="E10" i="8"/>
  <c r="E34" i="8"/>
  <c r="E56" i="8" s="1"/>
  <c r="E9" i="8" s="1"/>
  <c r="E21" i="8"/>
  <c r="E26" i="8" s="1"/>
  <c r="E48" i="7"/>
  <c r="E10" i="7"/>
  <c r="E8" i="7"/>
  <c r="E34" i="7"/>
  <c r="E55" i="7" s="1"/>
  <c r="I13" i="9" s="1"/>
  <c r="K13" i="9" s="1"/>
  <c r="E10" i="2"/>
  <c r="E34" i="2"/>
  <c r="E56" i="2" s="1"/>
  <c r="E21" i="2"/>
  <c r="E26" i="2" s="1"/>
  <c r="G9" i="9" s="1"/>
  <c r="G20" i="9" s="1"/>
  <c r="E10" i="18"/>
  <c r="E34" i="18"/>
  <c r="E58" i="18" s="1"/>
  <c r="E21" i="18"/>
  <c r="E26" i="18" s="1"/>
  <c r="E48" i="4"/>
  <c r="E34" i="4"/>
  <c r="E21" i="4"/>
  <c r="E26" i="4" s="1"/>
  <c r="E34" i="3"/>
  <c r="E55" i="3" s="1"/>
  <c r="O11" i="25" l="1"/>
  <c r="E9" i="18"/>
  <c r="W12" i="9" s="1"/>
  <c r="I12" i="9"/>
  <c r="K12" i="9" s="1"/>
  <c r="E57" i="3"/>
  <c r="E9" i="3"/>
  <c r="W10" i="9" s="1"/>
  <c r="I10" i="9"/>
  <c r="K10" i="9" s="1"/>
  <c r="E8" i="6"/>
  <c r="E34" i="6"/>
  <c r="E56" i="6" s="1"/>
  <c r="M13" i="9"/>
  <c r="O13" i="9"/>
  <c r="M11" i="9"/>
  <c r="O11" i="9"/>
  <c r="M14" i="9"/>
  <c r="O14" i="9"/>
  <c r="M10" i="9"/>
  <c r="O10" i="9"/>
  <c r="M12" i="9"/>
  <c r="O12" i="9"/>
  <c r="E9" i="20"/>
  <c r="I16" i="9"/>
  <c r="K16" i="9" s="1"/>
  <c r="O16" i="9" s="1"/>
  <c r="E59" i="20"/>
  <c r="E8" i="20"/>
  <c r="E57" i="19"/>
  <c r="E8" i="19"/>
  <c r="E34" i="21"/>
  <c r="E55" i="21" s="1"/>
  <c r="E58" i="8"/>
  <c r="E8" i="8"/>
  <c r="E9" i="7"/>
  <c r="W13" i="9" s="1"/>
  <c r="E57" i="7"/>
  <c r="E9" i="2"/>
  <c r="W9" i="9" s="1"/>
  <c r="I9" i="9"/>
  <c r="E58" i="2"/>
  <c r="E8" i="2"/>
  <c r="E60" i="18"/>
  <c r="E8" i="18"/>
  <c r="E55" i="4"/>
  <c r="E9" i="4" s="1"/>
  <c r="E8" i="4"/>
  <c r="E7" i="3" l="1"/>
  <c r="E11" i="3"/>
  <c r="Y10" i="9" s="1"/>
  <c r="E6" i="3"/>
  <c r="E9" i="6"/>
  <c r="E58" i="6"/>
  <c r="K9" i="9"/>
  <c r="E11" i="20"/>
  <c r="E7" i="20"/>
  <c r="E6" i="20"/>
  <c r="E11" i="19"/>
  <c r="E7" i="19"/>
  <c r="E6" i="19"/>
  <c r="E9" i="21"/>
  <c r="E57" i="21"/>
  <c r="E11" i="8"/>
  <c r="E7" i="8"/>
  <c r="E6" i="8"/>
  <c r="E11" i="7"/>
  <c r="Y13" i="9" s="1"/>
  <c r="E7" i="7"/>
  <c r="E6" i="7"/>
  <c r="E11" i="2"/>
  <c r="Y9" i="9" s="1"/>
  <c r="E7" i="2"/>
  <c r="E6" i="2"/>
  <c r="E11" i="18"/>
  <c r="Y12" i="9" s="1"/>
  <c r="E7" i="18"/>
  <c r="E6" i="18"/>
  <c r="E57" i="4"/>
  <c r="E11" i="4" s="1"/>
  <c r="E11" i="6" l="1"/>
  <c r="E7" i="6"/>
  <c r="E6" i="6"/>
  <c r="M9" i="9"/>
  <c r="O9" i="9"/>
  <c r="Q9" i="9" s="1"/>
  <c r="E11" i="21"/>
  <c r="E7" i="21"/>
  <c r="E6" i="21"/>
  <c r="E7" i="4"/>
  <c r="E6" i="4"/>
  <c r="E52" i="13" l="1"/>
  <c r="E39" i="13"/>
  <c r="AD4" i="22"/>
  <c r="Z5" i="22" s="1"/>
  <c r="N14" i="15" s="1"/>
  <c r="N11" i="10"/>
  <c r="T52" i="1"/>
  <c r="S52" i="1"/>
  <c r="R52" i="1"/>
  <c r="Q52" i="1"/>
  <c r="P52" i="1"/>
  <c r="O52" i="1"/>
  <c r="N52" i="1"/>
  <c r="M52" i="1"/>
  <c r="L52" i="1"/>
  <c r="K52" i="1"/>
  <c r="U52" i="1"/>
  <c r="J52" i="1"/>
  <c r="G30" i="15"/>
  <c r="H30" i="15" s="1"/>
  <c r="F30" i="15"/>
  <c r="F32" i="15" s="1"/>
  <c r="G32" i="15"/>
  <c r="E32" i="15"/>
  <c r="E25" i="15"/>
  <c r="AB5" i="22" l="1"/>
  <c r="P14" i="15" s="1"/>
  <c r="AA5" i="22"/>
  <c r="O14" i="15" s="1"/>
  <c r="H32" i="15"/>
  <c r="I30" i="15"/>
  <c r="I32" i="15" l="1"/>
  <c r="J30" i="15"/>
  <c r="J32" i="15" l="1"/>
  <c r="K30" i="15"/>
  <c r="K32" i="15" l="1"/>
  <c r="L30" i="15"/>
  <c r="L32" i="15" l="1"/>
  <c r="M30" i="15"/>
  <c r="M32" i="15" l="1"/>
  <c r="N30" i="15"/>
  <c r="O30" i="15" l="1"/>
  <c r="N32" i="15"/>
  <c r="P30" i="15" l="1"/>
  <c r="P32" i="15" s="1"/>
  <c r="O32" i="15"/>
  <c r="U59" i="22" l="1"/>
  <c r="U60" i="22" s="1"/>
  <c r="S59" i="22"/>
  <c r="S60" i="22" s="1"/>
  <c r="Q59" i="22"/>
  <c r="Q60" i="22" s="1"/>
  <c r="P59" i="22"/>
  <c r="P60" i="22" s="1"/>
  <c r="O59" i="22"/>
  <c r="O60" i="22" s="1"/>
  <c r="N59" i="22"/>
  <c r="N60" i="22" s="1"/>
  <c r="M59" i="22"/>
  <c r="M60" i="22" s="1"/>
  <c r="L59" i="22"/>
  <c r="L60" i="22" s="1"/>
  <c r="K59" i="22"/>
  <c r="K60" i="22" s="1"/>
  <c r="J59" i="22"/>
  <c r="J60" i="22" s="1"/>
  <c r="I59" i="22"/>
  <c r="I60" i="22" s="1"/>
  <c r="H59" i="22"/>
  <c r="H60" i="22" s="1"/>
  <c r="W58" i="22"/>
  <c r="W53" i="22"/>
  <c r="W52" i="22"/>
  <c r="W51" i="22"/>
  <c r="W50" i="22"/>
  <c r="W49" i="22"/>
  <c r="W47" i="22"/>
  <c r="W46" i="22"/>
  <c r="U45" i="22"/>
  <c r="U48" i="22" s="1"/>
  <c r="S45" i="22"/>
  <c r="S48" i="22" s="1"/>
  <c r="Q45" i="22"/>
  <c r="Q48" i="22" s="1"/>
  <c r="P45" i="22"/>
  <c r="P48" i="22" s="1"/>
  <c r="O45" i="22"/>
  <c r="O48" i="22" s="1"/>
  <c r="N45" i="22"/>
  <c r="N48" i="22" s="1"/>
  <c r="M45" i="22"/>
  <c r="M48" i="22" s="1"/>
  <c r="L45" i="22"/>
  <c r="L48" i="22" s="1"/>
  <c r="K45" i="22"/>
  <c r="K48" i="22" s="1"/>
  <c r="J45" i="22"/>
  <c r="J48" i="22" s="1"/>
  <c r="I45" i="22"/>
  <c r="I48" i="22" s="1"/>
  <c r="H45" i="22"/>
  <c r="H48" i="22" s="1"/>
  <c r="W44" i="22"/>
  <c r="W43" i="22"/>
  <c r="W40" i="22"/>
  <c r="W39" i="22"/>
  <c r="W38" i="22"/>
  <c r="W37" i="22"/>
  <c r="U36" i="22"/>
  <c r="S36" i="22"/>
  <c r="Q36" i="22"/>
  <c r="Q54" i="22" s="1"/>
  <c r="P36" i="22"/>
  <c r="P54" i="22" s="1"/>
  <c r="O36" i="22"/>
  <c r="O54" i="22" s="1"/>
  <c r="N36" i="22"/>
  <c r="N54" i="22" s="1"/>
  <c r="M36" i="22"/>
  <c r="M54" i="22" s="1"/>
  <c r="L36" i="22"/>
  <c r="K36" i="22"/>
  <c r="J36" i="22"/>
  <c r="I36" i="22"/>
  <c r="I54" i="22" s="1"/>
  <c r="H36" i="22"/>
  <c r="H54" i="22" s="1"/>
  <c r="W35" i="22"/>
  <c r="W33" i="22"/>
  <c r="W32" i="22"/>
  <c r="W28" i="22"/>
  <c r="W27" i="22"/>
  <c r="W26" i="22"/>
  <c r="W25" i="22"/>
  <c r="W24" i="22"/>
  <c r="W23" i="22"/>
  <c r="U22" i="22"/>
  <c r="U29" i="22" s="1"/>
  <c r="S22" i="22"/>
  <c r="S29" i="22" s="1"/>
  <c r="Q22" i="22"/>
  <c r="Q29" i="22" s="1"/>
  <c r="P22" i="22"/>
  <c r="P29" i="22" s="1"/>
  <c r="O22" i="22"/>
  <c r="O29" i="22" s="1"/>
  <c r="N22" i="22"/>
  <c r="N29" i="22" s="1"/>
  <c r="M22" i="22"/>
  <c r="M29" i="22" s="1"/>
  <c r="L22" i="22"/>
  <c r="L29" i="22" s="1"/>
  <c r="K22" i="22"/>
  <c r="K29" i="22" s="1"/>
  <c r="J22" i="22"/>
  <c r="J29" i="22" s="1"/>
  <c r="I22" i="22"/>
  <c r="I29" i="22" s="1"/>
  <c r="H22" i="22"/>
  <c r="W21" i="22"/>
  <c r="W20" i="22"/>
  <c r="W19" i="22"/>
  <c r="W18" i="22"/>
  <c r="U14" i="22"/>
  <c r="S14" i="22"/>
  <c r="Q14" i="22"/>
  <c r="P14" i="22"/>
  <c r="O14" i="22"/>
  <c r="N14" i="22"/>
  <c r="M14" i="22"/>
  <c r="L14" i="22"/>
  <c r="W14" i="22" s="1"/>
  <c r="K14" i="22"/>
  <c r="J14" i="22"/>
  <c r="I14" i="22"/>
  <c r="H14" i="22"/>
  <c r="W13" i="22"/>
  <c r="W11" i="22"/>
  <c r="U10" i="22"/>
  <c r="S10" i="22"/>
  <c r="Q10" i="22"/>
  <c r="W9" i="22"/>
  <c r="W8" i="22"/>
  <c r="W7" i="22"/>
  <c r="W6" i="22"/>
  <c r="W4" i="22"/>
  <c r="W22" i="22" l="1"/>
  <c r="J5" i="22"/>
  <c r="I5" i="22"/>
  <c r="P5" i="22"/>
  <c r="H5" i="22"/>
  <c r="O5" i="22"/>
  <c r="N5" i="22"/>
  <c r="M5" i="22"/>
  <c r="L5" i="22"/>
  <c r="K5" i="22"/>
  <c r="Q15" i="22"/>
  <c r="Q30" i="22" s="1"/>
  <c r="Q55" i="22" s="1"/>
  <c r="Q61" i="22" s="1"/>
  <c r="S15" i="22"/>
  <c r="S30" i="22" s="1"/>
  <c r="U15" i="22"/>
  <c r="U30" i="22" s="1"/>
  <c r="L54" i="22"/>
  <c r="J54" i="22"/>
  <c r="S54" i="22"/>
  <c r="W60" i="22"/>
  <c r="W48" i="22"/>
  <c r="U55" i="22"/>
  <c r="U61" i="22" s="1"/>
  <c r="K54" i="22"/>
  <c r="U54" i="22"/>
  <c r="W45" i="22"/>
  <c r="H29" i="22"/>
  <c r="W29" i="22" s="1"/>
  <c r="W59" i="22"/>
  <c r="W36" i="22"/>
  <c r="Q15" i="9"/>
  <c r="O10" i="22" l="1"/>
  <c r="O15" i="22" s="1"/>
  <c r="O30" i="22" s="1"/>
  <c r="O55" i="22" s="1"/>
  <c r="O61" i="22" s="1"/>
  <c r="L14" i="15"/>
  <c r="L10" i="22"/>
  <c r="L15" i="22" s="1"/>
  <c r="L30" i="22" s="1"/>
  <c r="L55" i="22" s="1"/>
  <c r="L61" i="22" s="1"/>
  <c r="I14" i="15"/>
  <c r="M10" i="22"/>
  <c r="M15" i="22" s="1"/>
  <c r="M30" i="22" s="1"/>
  <c r="M55" i="22" s="1"/>
  <c r="M61" i="22" s="1"/>
  <c r="J14" i="15"/>
  <c r="K10" i="22"/>
  <c r="K15" i="22" s="1"/>
  <c r="K30" i="22" s="1"/>
  <c r="H14" i="15"/>
  <c r="N10" i="22"/>
  <c r="N15" i="22" s="1"/>
  <c r="N30" i="22" s="1"/>
  <c r="N55" i="22" s="1"/>
  <c r="N61" i="22" s="1"/>
  <c r="K14" i="15"/>
  <c r="I10" i="22"/>
  <c r="I15" i="22" s="1"/>
  <c r="I30" i="22" s="1"/>
  <c r="I55" i="22" s="1"/>
  <c r="I61" i="22" s="1"/>
  <c r="F14" i="15"/>
  <c r="P10" i="22"/>
  <c r="P15" i="22" s="1"/>
  <c r="P30" i="22" s="1"/>
  <c r="P55" i="22" s="1"/>
  <c r="P61" i="22" s="1"/>
  <c r="M14" i="15"/>
  <c r="J10" i="22"/>
  <c r="J15" i="22" s="1"/>
  <c r="J30" i="22" s="1"/>
  <c r="J55" i="22" s="1"/>
  <c r="J61" i="22" s="1"/>
  <c r="G14" i="15"/>
  <c r="W54" i="22"/>
  <c r="S55" i="22"/>
  <c r="S61" i="22" s="1"/>
  <c r="E14" i="15"/>
  <c r="H10" i="22"/>
  <c r="K55" i="22"/>
  <c r="K61" i="22" s="1"/>
  <c r="W10" i="22" l="1"/>
  <c r="H15" i="22"/>
  <c r="H30" i="22" l="1"/>
  <c r="W15" i="22"/>
  <c r="W30" i="22" l="1"/>
  <c r="H55" i="22"/>
  <c r="M17" i="9"/>
  <c r="E17" i="13"/>
  <c r="E16" i="13"/>
  <c r="E20" i="13" l="1"/>
  <c r="E25" i="13" s="1"/>
  <c r="E8" i="13" s="1"/>
  <c r="W55" i="22"/>
  <c r="H61" i="22"/>
  <c r="W61" i="22" s="1"/>
  <c r="Q12" i="9"/>
  <c r="Q16" i="9"/>
  <c r="M16" i="9"/>
  <c r="M15" i="9" l="1"/>
  <c r="E9" i="15" l="1"/>
  <c r="B5" i="10"/>
  <c r="B18" i="10" s="1"/>
  <c r="B27" i="10" s="1"/>
  <c r="B35" i="10" s="1"/>
  <c r="F9" i="15"/>
  <c r="C5" i="10" l="1"/>
  <c r="C18" i="10" s="1"/>
  <c r="C27" i="10" s="1"/>
  <c r="C35" i="10" s="1"/>
  <c r="H16" i="17"/>
  <c r="H30" i="17"/>
  <c r="H42" i="17"/>
  <c r="F42" i="17"/>
  <c r="E42" i="17"/>
  <c r="D42" i="17"/>
  <c r="G30" i="17"/>
  <c r="G42" i="17" s="1"/>
  <c r="H26" i="17"/>
  <c r="G26" i="17"/>
  <c r="F26" i="17"/>
  <c r="E26" i="17"/>
  <c r="D26" i="17"/>
  <c r="G9" i="15" l="1"/>
  <c r="D5" i="10"/>
  <c r="D18" i="10" s="1"/>
  <c r="D27" i="10" s="1"/>
  <c r="D35" i="10" s="1"/>
  <c r="H44" i="17"/>
  <c r="H49" i="17" s="1"/>
  <c r="G44" i="17"/>
  <c r="AN15" i="15"/>
  <c r="AB15" i="15"/>
  <c r="P15" i="15"/>
  <c r="H9" i="15" l="1"/>
  <c r="E5" i="10"/>
  <c r="E18" i="10" s="1"/>
  <c r="E27" i="10" s="1"/>
  <c r="E35" i="10" s="1"/>
  <c r="I9" i="15" l="1"/>
  <c r="F5" i="10"/>
  <c r="F18" i="10" s="1"/>
  <c r="F27" i="10" s="1"/>
  <c r="F35" i="10" s="1"/>
  <c r="V53" i="1"/>
  <c r="BH18" i="15"/>
  <c r="BH21" i="15" s="1"/>
  <c r="G5" i="10" l="1"/>
  <c r="G18" i="10" s="1"/>
  <c r="G27" i="10" s="1"/>
  <c r="G35" i="10" s="1"/>
  <c r="J9" i="15"/>
  <c r="I33" i="17"/>
  <c r="F13" i="15"/>
  <c r="G13" i="15"/>
  <c r="H13" i="15"/>
  <c r="I13" i="15"/>
  <c r="J13" i="15"/>
  <c r="K13" i="15"/>
  <c r="L13" i="15"/>
  <c r="M13" i="15"/>
  <c r="N13" i="15"/>
  <c r="O13" i="15"/>
  <c r="P13" i="15"/>
  <c r="E13" i="15"/>
  <c r="V36" i="1"/>
  <c r="K9" i="15" l="1"/>
  <c r="H5" i="10"/>
  <c r="H18" i="10" s="1"/>
  <c r="H27" i="10" s="1"/>
  <c r="H35" i="10" s="1"/>
  <c r="I18" i="17"/>
  <c r="B7" i="15"/>
  <c r="I5" i="10" l="1"/>
  <c r="I18" i="10" s="1"/>
  <c r="I27" i="10" s="1"/>
  <c r="I35" i="10" s="1"/>
  <c r="L9" i="15"/>
  <c r="J5" i="10" l="1"/>
  <c r="J18" i="10" s="1"/>
  <c r="J27" i="10" s="1"/>
  <c r="J35" i="10" s="1"/>
  <c r="M9" i="15"/>
  <c r="N10" i="10"/>
  <c r="E43" i="13"/>
  <c r="E42" i="13"/>
  <c r="E47" i="13" s="1"/>
  <c r="N9" i="15" l="1"/>
  <c r="K5" i="10"/>
  <c r="K18" i="10" s="1"/>
  <c r="K27" i="10" s="1"/>
  <c r="K35" i="10" s="1"/>
  <c r="V25" i="1"/>
  <c r="X25" i="1" l="1"/>
  <c r="E24" i="11"/>
  <c r="F24" i="11" s="1"/>
  <c r="L5" i="10"/>
  <c r="L18" i="10" s="1"/>
  <c r="L27" i="10" s="1"/>
  <c r="L35" i="10" s="1"/>
  <c r="O9" i="15"/>
  <c r="I32" i="17"/>
  <c r="E33" i="13"/>
  <c r="E54" i="13" l="1"/>
  <c r="E9" i="13" s="1"/>
  <c r="W8" i="9" s="1"/>
  <c r="M5" i="10"/>
  <c r="M18" i="10" s="1"/>
  <c r="M27" i="10" s="1"/>
  <c r="M35" i="10" s="1"/>
  <c r="G4" i="17"/>
  <c r="P9" i="15"/>
  <c r="Q9" i="15" s="1"/>
  <c r="R9" i="15" s="1"/>
  <c r="S9" i="15" s="1"/>
  <c r="T9" i="15" s="1"/>
  <c r="U9" i="15" s="1"/>
  <c r="V9" i="15" s="1"/>
  <c r="W9" i="15" s="1"/>
  <c r="X9" i="15" s="1"/>
  <c r="Y9" i="15" s="1"/>
  <c r="Z9" i="15" s="1"/>
  <c r="AA9" i="15" s="1"/>
  <c r="AB9" i="15" s="1"/>
  <c r="AC9" i="15" s="1"/>
  <c r="AD9" i="15" s="1"/>
  <c r="AE9" i="15" s="1"/>
  <c r="AF9" i="15" s="1"/>
  <c r="AG9" i="15" s="1"/>
  <c r="AH9" i="15" s="1"/>
  <c r="AI9" i="15" s="1"/>
  <c r="AJ9" i="15" s="1"/>
  <c r="AK9" i="15" s="1"/>
  <c r="AL9" i="15" s="1"/>
  <c r="AM9" i="15" s="1"/>
  <c r="AN9" i="15" s="1"/>
  <c r="AO9" i="15" s="1"/>
  <c r="AP9" i="15" s="1"/>
  <c r="AQ9" i="15" s="1"/>
  <c r="AR9" i="15" s="1"/>
  <c r="AS9" i="15" s="1"/>
  <c r="AT9" i="15" s="1"/>
  <c r="AU9" i="15" s="1"/>
  <c r="AV9" i="15" s="1"/>
  <c r="AW9" i="15" s="1"/>
  <c r="AX9" i="15" s="1"/>
  <c r="AY9" i="15" s="1"/>
  <c r="AZ9" i="15" s="1"/>
  <c r="E56" i="13" l="1"/>
  <c r="I8" i="9"/>
  <c r="I20" i="9" s="1"/>
  <c r="K8" i="9" l="1"/>
  <c r="O8" i="9" s="1"/>
  <c r="Q8" i="9" s="1"/>
  <c r="E6" i="13"/>
  <c r="E11" i="13"/>
  <c r="Y8" i="9" s="1"/>
  <c r="E7" i="13"/>
  <c r="M8" i="9" l="1"/>
  <c r="K20" i="9"/>
  <c r="M20" i="9" s="1"/>
  <c r="J23" i="1"/>
  <c r="K23" i="1"/>
  <c r="N12" i="10" l="1"/>
  <c r="U54" i="1"/>
  <c r="T54" i="1"/>
  <c r="S54" i="1"/>
  <c r="R54" i="1"/>
  <c r="Q54" i="1"/>
  <c r="P54" i="1"/>
  <c r="O54" i="1"/>
  <c r="N54" i="1"/>
  <c r="M54" i="1"/>
  <c r="L54" i="1"/>
  <c r="K54" i="1"/>
  <c r="N21" i="10"/>
  <c r="N20" i="10"/>
  <c r="N19" i="10"/>
  <c r="N9" i="10"/>
  <c r="N7" i="10"/>
  <c r="N6" i="10"/>
  <c r="V52" i="1"/>
  <c r="V50" i="1"/>
  <c r="V49" i="1"/>
  <c r="V48" i="1"/>
  <c r="U38" i="1"/>
  <c r="T38" i="1"/>
  <c r="S38" i="1"/>
  <c r="R38" i="1"/>
  <c r="Q38" i="1"/>
  <c r="P38" i="1"/>
  <c r="O38" i="1"/>
  <c r="N38" i="1"/>
  <c r="M38" i="1"/>
  <c r="L38" i="1"/>
  <c r="K38" i="1"/>
  <c r="J38" i="1"/>
  <c r="V37" i="1"/>
  <c r="V35" i="1"/>
  <c r="J27" i="1"/>
  <c r="T19" i="1"/>
  <c r="S19" i="1"/>
  <c r="P19" i="1"/>
  <c r="E34" i="11" l="1"/>
  <c r="F34" i="11" s="1"/>
  <c r="X35" i="1"/>
  <c r="E49" i="11"/>
  <c r="F49" i="11" s="1"/>
  <c r="X50" i="1"/>
  <c r="E48" i="11"/>
  <c r="F48" i="11" s="1"/>
  <c r="I31" i="17"/>
  <c r="X37" i="1"/>
  <c r="E36" i="11"/>
  <c r="F36" i="11" s="1"/>
  <c r="I13" i="17"/>
  <c r="J51" i="1"/>
  <c r="J55" i="1" s="1"/>
  <c r="V54" i="1"/>
  <c r="N23" i="10"/>
  <c r="V38" i="1"/>
  <c r="E37" i="11" s="1"/>
  <c r="F37" i="11" s="1"/>
  <c r="K51" i="1" l="1"/>
  <c r="K55" i="1" s="1"/>
  <c r="L51" i="1" l="1"/>
  <c r="L55" i="1" s="1"/>
  <c r="M51" i="1" l="1"/>
  <c r="M55" i="1" s="1"/>
  <c r="Q14" i="9" l="1"/>
  <c r="N51" i="1"/>
  <c r="N55" i="1" s="1"/>
  <c r="Q13" i="9"/>
  <c r="O51" i="1" l="1"/>
  <c r="O55" i="1" s="1"/>
  <c r="P51" i="1" l="1"/>
  <c r="P55" i="1" s="1"/>
  <c r="R23" i="1"/>
  <c r="S23" i="1"/>
  <c r="S27" i="1" s="1"/>
  <c r="S28" i="1" s="1"/>
  <c r="Q51" i="1" l="1"/>
  <c r="Q55" i="1" s="1"/>
  <c r="Q19" i="1"/>
  <c r="K19" i="1"/>
  <c r="U23" i="1"/>
  <c r="U27" i="1" s="1"/>
  <c r="T23" i="1"/>
  <c r="T27" i="1" s="1"/>
  <c r="T28" i="1" s="1"/>
  <c r="R27" i="1"/>
  <c r="U19" i="1" l="1"/>
  <c r="U28" i="1" s="1"/>
  <c r="J19" i="1"/>
  <c r="J28" i="1" s="1"/>
  <c r="R51" i="1"/>
  <c r="R55" i="1" s="1"/>
  <c r="N28" i="10"/>
  <c r="N30" i="10" s="1"/>
  <c r="T51" i="1" l="1"/>
  <c r="T55" i="1" s="1"/>
  <c r="S51" i="1"/>
  <c r="R19" i="1"/>
  <c r="R28" i="1" s="1"/>
  <c r="O23" i="1"/>
  <c r="O27" i="1" s="1"/>
  <c r="P23" i="1"/>
  <c r="P27" i="1" s="1"/>
  <c r="P28" i="1" s="1"/>
  <c r="Q23" i="1"/>
  <c r="V18" i="1"/>
  <c r="E17" i="11" s="1"/>
  <c r="F17" i="11" s="1"/>
  <c r="X18" i="1" l="1"/>
  <c r="S55" i="1"/>
  <c r="N14" i="10"/>
  <c r="N8" i="10"/>
  <c r="M19" i="1"/>
  <c r="L19" i="1"/>
  <c r="Q11" i="9"/>
  <c r="N23" i="1"/>
  <c r="N27" i="1" s="1"/>
  <c r="Q10" i="9"/>
  <c r="K27" i="1"/>
  <c r="K28" i="1" s="1"/>
  <c r="V26" i="1" l="1"/>
  <c r="E25" i="11" s="1"/>
  <c r="F25" i="11" s="1"/>
  <c r="Q27" i="1"/>
  <c r="Q28" i="1" s="1"/>
  <c r="S20" i="9"/>
  <c r="U51" i="1"/>
  <c r="L23" i="1"/>
  <c r="V10" i="1"/>
  <c r="X26" i="1" l="1"/>
  <c r="U20" i="9"/>
  <c r="W20" i="9"/>
  <c r="K11" i="1"/>
  <c r="R11" i="1"/>
  <c r="S11" i="1"/>
  <c r="M11" i="1"/>
  <c r="P11" i="1"/>
  <c r="T11" i="1"/>
  <c r="L11" i="1"/>
  <c r="O11" i="1"/>
  <c r="J11" i="1"/>
  <c r="N11" i="1"/>
  <c r="Q11" i="1"/>
  <c r="U11" i="1"/>
  <c r="U55" i="1"/>
  <c r="V55" i="1" s="1"/>
  <c r="E54" i="11" s="1"/>
  <c r="F54" i="11" s="1"/>
  <c r="V51" i="1"/>
  <c r="I16" i="17"/>
  <c r="I26" i="17" s="1"/>
  <c r="L27" i="1"/>
  <c r="L28" i="1" s="1"/>
  <c r="E50" i="11" l="1"/>
  <c r="F50" i="11" s="1"/>
  <c r="X51" i="1"/>
  <c r="Y20" i="9"/>
  <c r="L12" i="1"/>
  <c r="G10" i="15" s="1"/>
  <c r="S10" i="15" s="1"/>
  <c r="AE10" i="15" s="1"/>
  <c r="AQ10" i="15" s="1"/>
  <c r="N19" i="1"/>
  <c r="L30" i="1"/>
  <c r="K12" i="1"/>
  <c r="T12" i="1"/>
  <c r="P12" i="1"/>
  <c r="S12" i="1"/>
  <c r="N12" i="1"/>
  <c r="I10" i="15" s="1"/>
  <c r="U10" i="15" s="1"/>
  <c r="AG10" i="15" s="1"/>
  <c r="AS10" i="15" s="1"/>
  <c r="R12" i="1"/>
  <c r="U12" i="1"/>
  <c r="J12" i="1"/>
  <c r="O12" i="1"/>
  <c r="J10" i="15" s="1"/>
  <c r="V10" i="15" s="1"/>
  <c r="AH10" i="15" s="1"/>
  <c r="AT10" i="15" s="1"/>
  <c r="M12" i="1"/>
  <c r="H10" i="15" s="1"/>
  <c r="T10" i="15" s="1"/>
  <c r="AF10" i="15" s="1"/>
  <c r="AR10" i="15" s="1"/>
  <c r="Q12" i="1"/>
  <c r="V22" i="1"/>
  <c r="E21" i="11" s="1"/>
  <c r="F21" i="11" s="1"/>
  <c r="M23" i="1"/>
  <c r="V23" i="1" s="1"/>
  <c r="X22" i="1" l="1"/>
  <c r="I30" i="17"/>
  <c r="K30" i="1"/>
  <c r="F10" i="15"/>
  <c r="R10" i="15" s="1"/>
  <c r="AD10" i="15" s="1"/>
  <c r="AP10" i="15" s="1"/>
  <c r="U30" i="1"/>
  <c r="P10" i="15"/>
  <c r="AB10" i="15" s="1"/>
  <c r="AN10" i="15" s="1"/>
  <c r="AZ10" i="15" s="1"/>
  <c r="D10" i="15"/>
  <c r="S30" i="1"/>
  <c r="N10" i="15"/>
  <c r="Z10" i="15" s="1"/>
  <c r="AL10" i="15" s="1"/>
  <c r="AX10" i="15" s="1"/>
  <c r="B10" i="15"/>
  <c r="R30" i="1"/>
  <c r="M10" i="15"/>
  <c r="Y10" i="15" s="1"/>
  <c r="AK10" i="15" s="1"/>
  <c r="AW10" i="15" s="1"/>
  <c r="P30" i="1"/>
  <c r="K10" i="15"/>
  <c r="W10" i="15" s="1"/>
  <c r="AI10" i="15" s="1"/>
  <c r="AU10" i="15" s="1"/>
  <c r="Q30" i="1"/>
  <c r="L10" i="15"/>
  <c r="X10" i="15" s="1"/>
  <c r="AJ10" i="15" s="1"/>
  <c r="AV10" i="15" s="1"/>
  <c r="J30" i="1"/>
  <c r="E10" i="15"/>
  <c r="Q10" i="15" s="1"/>
  <c r="AC10" i="15" s="1"/>
  <c r="AO10" i="15" s="1"/>
  <c r="T30" i="1"/>
  <c r="O10" i="15"/>
  <c r="AA10" i="15" s="1"/>
  <c r="AM10" i="15" s="1"/>
  <c r="AY10" i="15" s="1"/>
  <c r="C10" i="15"/>
  <c r="V12" i="1"/>
  <c r="E11" i="11" s="1"/>
  <c r="F11" i="11" s="1"/>
  <c r="V43" i="1"/>
  <c r="V11" i="1"/>
  <c r="V27" i="1"/>
  <c r="E26" i="11" s="1"/>
  <c r="F26" i="11" s="1"/>
  <c r="M27" i="1"/>
  <c r="M28" i="1" s="1"/>
  <c r="V16" i="1"/>
  <c r="E15" i="11" s="1"/>
  <c r="F15" i="11" s="1"/>
  <c r="N28" i="1"/>
  <c r="X11" i="1" l="1"/>
  <c r="E10" i="11"/>
  <c r="F10" i="11" s="1"/>
  <c r="X16" i="1"/>
  <c r="I36" i="17"/>
  <c r="N30" i="1"/>
  <c r="M30" i="1"/>
  <c r="V17" i="1" l="1"/>
  <c r="E16" i="11" s="1"/>
  <c r="F16" i="11" s="1"/>
  <c r="X17" i="1" l="1"/>
  <c r="O19" i="1"/>
  <c r="O28" i="1" s="1"/>
  <c r="V19" i="1" l="1"/>
  <c r="E18" i="11" s="1"/>
  <c r="F18" i="11" s="1"/>
  <c r="O30" i="1"/>
  <c r="V28" i="1" l="1"/>
  <c r="E27" i="11" s="1"/>
  <c r="F27" i="11" s="1"/>
  <c r="I34" i="17"/>
  <c r="V30" i="1" l="1"/>
  <c r="E29" i="11" s="1"/>
  <c r="F29" i="11" s="1"/>
  <c r="U42" i="1"/>
  <c r="O42" i="1"/>
  <c r="S42" i="1"/>
  <c r="J42" i="1"/>
  <c r="L42" i="1"/>
  <c r="P42" i="1"/>
  <c r="R42" i="1"/>
  <c r="K42" i="1"/>
  <c r="T42" i="1"/>
  <c r="M42" i="1"/>
  <c r="N42" i="1"/>
  <c r="Q42" i="1"/>
  <c r="K45" i="1" l="1"/>
  <c r="L45" i="1"/>
  <c r="Q45" i="1"/>
  <c r="O45" i="1"/>
  <c r="R45" i="1"/>
  <c r="P45" i="1"/>
  <c r="V42" i="1"/>
  <c r="N45" i="1"/>
  <c r="S45" i="1"/>
  <c r="M45" i="1"/>
  <c r="T45" i="1"/>
  <c r="U45" i="1"/>
  <c r="X42" i="1" l="1"/>
  <c r="E41" i="11"/>
  <c r="F41" i="11" s="1"/>
  <c r="V44" i="1"/>
  <c r="T58" i="1"/>
  <c r="T56" i="1"/>
  <c r="O11" i="15"/>
  <c r="AA11" i="15" s="1"/>
  <c r="AM11" i="15" s="1"/>
  <c r="AY11" i="15" s="1"/>
  <c r="T60" i="1"/>
  <c r="S56" i="1"/>
  <c r="S58" i="1"/>
  <c r="S60" i="1"/>
  <c r="N11" i="15"/>
  <c r="Z11" i="15" s="1"/>
  <c r="AL11" i="15" s="1"/>
  <c r="AX11" i="15" s="1"/>
  <c r="U56" i="1"/>
  <c r="U58" i="1"/>
  <c r="P11" i="15"/>
  <c r="AB11" i="15" s="1"/>
  <c r="AN11" i="15" s="1"/>
  <c r="AZ11" i="15" s="1"/>
  <c r="U60" i="1"/>
  <c r="Q60" i="1"/>
  <c r="Q56" i="1"/>
  <c r="Q58" i="1"/>
  <c r="L11" i="15"/>
  <c r="X11" i="15" s="1"/>
  <c r="AJ11" i="15" s="1"/>
  <c r="AV11" i="15" s="1"/>
  <c r="P56" i="1"/>
  <c r="P58" i="1"/>
  <c r="K11" i="15"/>
  <c r="W11" i="15" s="1"/>
  <c r="AI11" i="15" s="1"/>
  <c r="AU11" i="15" s="1"/>
  <c r="P60" i="1"/>
  <c r="M56" i="1"/>
  <c r="M60" i="1"/>
  <c r="H11" i="15"/>
  <c r="T11" i="15" s="1"/>
  <c r="AF11" i="15" s="1"/>
  <c r="AR11" i="15" s="1"/>
  <c r="M58" i="1"/>
  <c r="R58" i="1"/>
  <c r="M11" i="15"/>
  <c r="Y11" i="15" s="1"/>
  <c r="AK11" i="15" s="1"/>
  <c r="AW11" i="15" s="1"/>
  <c r="R60" i="1"/>
  <c r="R56" i="1"/>
  <c r="K60" i="1"/>
  <c r="F11" i="15"/>
  <c r="R11" i="15" s="1"/>
  <c r="AD11" i="15" s="1"/>
  <c r="AP11" i="15" s="1"/>
  <c r="K58" i="1"/>
  <c r="C11" i="15"/>
  <c r="K56" i="1"/>
  <c r="N58" i="1"/>
  <c r="N60" i="1"/>
  <c r="N56" i="1"/>
  <c r="I11" i="15"/>
  <c r="U11" i="15" s="1"/>
  <c r="AG11" i="15" s="1"/>
  <c r="AS11" i="15" s="1"/>
  <c r="O56" i="1"/>
  <c r="O58" i="1"/>
  <c r="J11" i="15"/>
  <c r="V11" i="15" s="1"/>
  <c r="AH11" i="15" s="1"/>
  <c r="AT11" i="15" s="1"/>
  <c r="O60" i="1"/>
  <c r="J45" i="1"/>
  <c r="L56" i="1"/>
  <c r="L58" i="1"/>
  <c r="D11" i="15"/>
  <c r="L60" i="1"/>
  <c r="G11" i="15"/>
  <c r="S11" i="15" s="1"/>
  <c r="AE11" i="15" s="1"/>
  <c r="AQ11" i="15" s="1"/>
  <c r="X44" i="1" l="1"/>
  <c r="E43" i="11"/>
  <c r="F43" i="11" s="1"/>
  <c r="E24" i="15"/>
  <c r="J58" i="1"/>
  <c r="V58" i="1" s="1"/>
  <c r="E57" i="11" s="1"/>
  <c r="F57" i="11" s="1"/>
  <c r="V45" i="1"/>
  <c r="E44" i="11" s="1"/>
  <c r="F44" i="11" s="1"/>
  <c r="B11" i="15"/>
  <c r="B18" i="15" s="1"/>
  <c r="C18" i="15" s="1"/>
  <c r="D18" i="15" s="1"/>
  <c r="J60" i="1"/>
  <c r="J61" i="1" s="1"/>
  <c r="K61" i="1" s="1"/>
  <c r="L61" i="1" s="1"/>
  <c r="M61" i="1" s="1"/>
  <c r="N61" i="1" s="1"/>
  <c r="O61" i="1" s="1"/>
  <c r="P61" i="1" s="1"/>
  <c r="Q61" i="1" s="1"/>
  <c r="R61" i="1" s="1"/>
  <c r="S61" i="1" s="1"/>
  <c r="T61" i="1" s="1"/>
  <c r="U61" i="1" s="1"/>
  <c r="E11" i="15"/>
  <c r="J56" i="1"/>
  <c r="E18" i="15" l="1"/>
  <c r="F18" i="15" s="1"/>
  <c r="G18" i="15" s="1"/>
  <c r="H18" i="15" s="1"/>
  <c r="I18" i="15" s="1"/>
  <c r="J18" i="15" s="1"/>
  <c r="K18" i="15" s="1"/>
  <c r="L18" i="15" s="1"/>
  <c r="M18" i="15" s="1"/>
  <c r="N18" i="15" s="1"/>
  <c r="O18" i="15" s="1"/>
  <c r="P18" i="15" s="1"/>
  <c r="Q24" i="15"/>
  <c r="Q11" i="15"/>
  <c r="AC11" i="15" s="1"/>
  <c r="AO11" i="15" s="1"/>
  <c r="V60" i="1"/>
  <c r="V56" i="1"/>
  <c r="E55" i="11" s="1"/>
  <c r="F55" i="11" s="1"/>
  <c r="I29" i="17"/>
  <c r="I42" i="17" s="1"/>
  <c r="I44" i="17" s="1"/>
  <c r="Q18" i="15" l="1"/>
  <c r="R18" i="15" s="1"/>
  <c r="S18" i="15" s="1"/>
  <c r="T18" i="15" s="1"/>
  <c r="U18" i="15" s="1"/>
  <c r="V18" i="15" s="1"/>
  <c r="W18" i="15" s="1"/>
  <c r="X18" i="15" s="1"/>
  <c r="Y18" i="15" s="1"/>
  <c r="Z18" i="15" s="1"/>
  <c r="AA18" i="15" s="1"/>
  <c r="AB18" i="15" s="1"/>
  <c r="AC18" i="15" s="1"/>
  <c r="AD18" i="15" s="1"/>
  <c r="AE18" i="15" s="1"/>
  <c r="AF18" i="15" s="1"/>
  <c r="AG18" i="15" s="1"/>
  <c r="AH18" i="15" s="1"/>
  <c r="AI18" i="15" s="1"/>
  <c r="AJ18" i="15" s="1"/>
  <c r="AK18" i="15" s="1"/>
  <c r="AL18" i="15" s="1"/>
  <c r="AM18" i="15" s="1"/>
  <c r="AN18" i="15" s="1"/>
  <c r="AO18" i="15" s="1"/>
  <c r="AP18" i="15" s="1"/>
  <c r="AQ18" i="15" s="1"/>
  <c r="AR18" i="15" s="1"/>
  <c r="AS18" i="15" s="1"/>
  <c r="AT18" i="15" s="1"/>
  <c r="AU18" i="15" s="1"/>
  <c r="AV18" i="15" s="1"/>
  <c r="AW18" i="15" s="1"/>
  <c r="AX18" i="15" s="1"/>
  <c r="AY18" i="15" s="1"/>
  <c r="AZ18" i="15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<sst xmlns="http://schemas.openxmlformats.org/spreadsheetml/2006/main" count="1497" uniqueCount="409">
  <si>
    <t>Goals</t>
  </si>
  <si>
    <t>Target programs that are over a 15% expense subsidy.  (Basketball)</t>
  </si>
  <si>
    <t>Transfer to PTIF account $17,973 to have 1 year's operating expenses of $91,215.</t>
  </si>
  <si>
    <t>Total</t>
  </si>
  <si>
    <t>Section I: Recreation Program Income and Expenses</t>
  </si>
  <si>
    <t>Recreation Programs Income</t>
  </si>
  <si>
    <t>Charges for Services</t>
  </si>
  <si>
    <t>Registration Income</t>
  </si>
  <si>
    <t>Sponsorship Discount</t>
  </si>
  <si>
    <t xml:space="preserve">    Less: Scholarships</t>
  </si>
  <si>
    <t>Net Registration Income:</t>
  </si>
  <si>
    <t>Cost of Goods Sold</t>
  </si>
  <si>
    <t>Recreation Program Expenses</t>
  </si>
  <si>
    <t>Subcontractors</t>
  </si>
  <si>
    <t>Sub Contractors</t>
  </si>
  <si>
    <t>Field Setup</t>
  </si>
  <si>
    <t>Officials and Referees</t>
  </si>
  <si>
    <t>Camp Director</t>
  </si>
  <si>
    <t>Director</t>
  </si>
  <si>
    <t>Program Assistant</t>
  </si>
  <si>
    <t>Assistant Director</t>
  </si>
  <si>
    <t>Total Subcontractors</t>
  </si>
  <si>
    <t>Total Subcontractor:</t>
  </si>
  <si>
    <t>Other Expenses</t>
  </si>
  <si>
    <t>Uniforms</t>
  </si>
  <si>
    <t>Transaction Fee</t>
  </si>
  <si>
    <t>Registration Transaction Fees</t>
  </si>
  <si>
    <t>Computer Software</t>
  </si>
  <si>
    <t>Sportsman Registration Software</t>
  </si>
  <si>
    <t>New Program Development</t>
  </si>
  <si>
    <t>Program Misc. Expense</t>
  </si>
  <si>
    <t>Total Other Expenses:</t>
  </si>
  <si>
    <t>Total Recreation Program Expenses:</t>
  </si>
  <si>
    <t>Rec Program Net Income/Loss:</t>
  </si>
  <si>
    <t>Section II: Non Sports Program Revenue and Administrative Expenses</t>
  </si>
  <si>
    <t>Income</t>
  </si>
  <si>
    <t>Fundraising</t>
  </si>
  <si>
    <t>Property Taxes</t>
  </si>
  <si>
    <t>County Grant</t>
  </si>
  <si>
    <t>Interest Income</t>
  </si>
  <si>
    <t>Total Income</t>
  </si>
  <si>
    <t>Non Program Income:</t>
  </si>
  <si>
    <t>Administration Expenses</t>
  </si>
  <si>
    <t>Compensation</t>
  </si>
  <si>
    <t>Employees</t>
  </si>
  <si>
    <t>Payroll Fee</t>
  </si>
  <si>
    <t>FICA/Medicare</t>
  </si>
  <si>
    <t>Total Compensation:</t>
  </si>
  <si>
    <t>Expense</t>
  </si>
  <si>
    <t>Other Administrative Expenses</t>
  </si>
  <si>
    <t>Bank Charges</t>
  </si>
  <si>
    <t>Depreciation Expense</t>
  </si>
  <si>
    <t>Depreciation Expenses</t>
  </si>
  <si>
    <t>Office Supplies</t>
  </si>
  <si>
    <t>Professional Services</t>
  </si>
  <si>
    <t>Phone Service</t>
  </si>
  <si>
    <t>Utilities</t>
  </si>
  <si>
    <t>Interest Expense</t>
  </si>
  <si>
    <t>Misc.</t>
  </si>
  <si>
    <t>Total Other Administrative Expenses:</t>
  </si>
  <si>
    <t>Total Administrative Expenses:</t>
  </si>
  <si>
    <t>Administrative Net Income/Loss:</t>
  </si>
  <si>
    <t>Monthly Net Income:</t>
  </si>
  <si>
    <t>Year To Date Net Income:</t>
  </si>
  <si>
    <t>Local and Special Service Districts</t>
  </si>
  <si>
    <t>Name</t>
  </si>
  <si>
    <t>North Summit Recreation Special Service District</t>
  </si>
  <si>
    <t>Adopted Budget</t>
  </si>
  <si>
    <t>Fiscal Year</t>
  </si>
  <si>
    <r>
      <t xml:space="preserve">Form: </t>
    </r>
    <r>
      <rPr>
        <b/>
        <sz val="8"/>
        <rFont val="Arial"/>
        <family val="2"/>
      </rPr>
      <t>SD-BUD-1-2012</t>
    </r>
  </si>
  <si>
    <t>Part I</t>
  </si>
  <si>
    <t>General and Enterprise Fund</t>
  </si>
  <si>
    <t>General Fund</t>
  </si>
  <si>
    <t>Enterprise Fund</t>
  </si>
  <si>
    <t>Actual Expenses</t>
  </si>
  <si>
    <t>Prior Year</t>
  </si>
  <si>
    <t>Current Year</t>
  </si>
  <si>
    <t xml:space="preserve">Budget </t>
  </si>
  <si>
    <t>Budget</t>
  </si>
  <si>
    <t>(a)</t>
  </si>
  <si>
    <t>(b)</t>
  </si>
  <si>
    <t>(c)</t>
  </si>
  <si>
    <t>(d)</t>
  </si>
  <si>
    <t>(e)</t>
  </si>
  <si>
    <t>(f)</t>
  </si>
  <si>
    <t>(g)</t>
  </si>
  <si>
    <t>Revenues</t>
  </si>
  <si>
    <t>Taxes:  Property Tax</t>
  </si>
  <si>
    <t xml:space="preserve">              Other:</t>
  </si>
  <si>
    <t>Fee in Lieu of Taxes</t>
  </si>
  <si>
    <t>Summit County</t>
  </si>
  <si>
    <t>Donations</t>
  </si>
  <si>
    <t>Fund raising</t>
  </si>
  <si>
    <t>Other Financing Sources:</t>
  </si>
  <si>
    <t>Transfers from Other Funds</t>
  </si>
  <si>
    <t>1.10</t>
  </si>
  <si>
    <t>Contribution from Fund Balance</t>
  </si>
  <si>
    <t>1.11</t>
  </si>
  <si>
    <t>Operating grants</t>
  </si>
  <si>
    <t>1.12</t>
  </si>
  <si>
    <t>Total Revenues</t>
  </si>
  <si>
    <t>Expenses</t>
  </si>
  <si>
    <t>Salaries and Benefits</t>
  </si>
  <si>
    <t>Other Operating Expenses</t>
  </si>
  <si>
    <t>Depreciation</t>
  </si>
  <si>
    <t>Program Development</t>
  </si>
  <si>
    <t>Debt Service</t>
  </si>
  <si>
    <t>Contracted services</t>
  </si>
  <si>
    <t>Professional</t>
  </si>
  <si>
    <t>Scholarships</t>
  </si>
  <si>
    <t>Other Financing Uses:</t>
  </si>
  <si>
    <t>Transfers to Other Funds</t>
  </si>
  <si>
    <t>2.10</t>
  </si>
  <si>
    <t>Contribution to Fund Balance</t>
  </si>
  <si>
    <t>2.11</t>
  </si>
  <si>
    <t>2.12</t>
  </si>
  <si>
    <t>Total Expenditures / Expenses</t>
  </si>
  <si>
    <t>Net Income / (Loss)</t>
  </si>
  <si>
    <t>CONTINUE ON PAGE 2 WITH PART II</t>
  </si>
  <si>
    <t>Budget Comparison</t>
  </si>
  <si>
    <t>Jan 22</t>
  </si>
  <si>
    <t>Feb 22</t>
  </si>
  <si>
    <t>Mar 22</t>
  </si>
  <si>
    <t>Apr 22</t>
  </si>
  <si>
    <t>May 22</t>
  </si>
  <si>
    <t>Jun 22</t>
  </si>
  <si>
    <t>Jul 22</t>
  </si>
  <si>
    <t>Aug 22</t>
  </si>
  <si>
    <t>Sep 22</t>
  </si>
  <si>
    <t>Oct 22</t>
  </si>
  <si>
    <t>Nov 22</t>
  </si>
  <si>
    <t>Dec 22</t>
  </si>
  <si>
    <t>TOTAL</t>
  </si>
  <si>
    <t>Ordinary Income/Expense</t>
  </si>
  <si>
    <t>Property Tax</t>
  </si>
  <si>
    <t>Tournament Income</t>
  </si>
  <si>
    <t>Camps &amp; Clinics</t>
  </si>
  <si>
    <t>Recreation Programs</t>
  </si>
  <si>
    <t>Charges for Services - Other</t>
  </si>
  <si>
    <t>Total Charges for Services</t>
  </si>
  <si>
    <t>Utah Local Governments Trust</t>
  </si>
  <si>
    <t>Dividend payment</t>
  </si>
  <si>
    <t>Total Utah Local Governments Trust</t>
  </si>
  <si>
    <t>Officiating</t>
  </si>
  <si>
    <t>Athlete Appreciation</t>
  </si>
  <si>
    <t>Coach appreciation awards</t>
  </si>
  <si>
    <t>Recreation Supplies &amp; Equipment</t>
  </si>
  <si>
    <t>Trophies &amp; Awards</t>
  </si>
  <si>
    <t>Total COGS</t>
  </si>
  <si>
    <t>Gross Profit</t>
  </si>
  <si>
    <t>Tournament supplies</t>
  </si>
  <si>
    <t>Dues &amp; Subscriptions</t>
  </si>
  <si>
    <t>Insurance</t>
  </si>
  <si>
    <t>Workers Compensation Insurance</t>
  </si>
  <si>
    <t>Total Insurance</t>
  </si>
  <si>
    <t>Advertising</t>
  </si>
  <si>
    <t>Legal Public Notice Ads</t>
  </si>
  <si>
    <t>Payroll Expenses</t>
  </si>
  <si>
    <t>Salaries &amp; Wages</t>
  </si>
  <si>
    <t>Office</t>
  </si>
  <si>
    <t>Administrator</t>
  </si>
  <si>
    <t>Total Salaries &amp; Wages</t>
  </si>
  <si>
    <t>Payroll Taxes</t>
  </si>
  <si>
    <t>Payroll Expenses - Other</t>
  </si>
  <si>
    <t>Total Payroll Expenses</t>
  </si>
  <si>
    <t>PO Box Service Fee</t>
  </si>
  <si>
    <t>Website</t>
  </si>
  <si>
    <t>Total Expense</t>
  </si>
  <si>
    <t>Net Ordinary Income</t>
  </si>
  <si>
    <t>Other Income/Expense</t>
  </si>
  <si>
    <t>Other Expense</t>
  </si>
  <si>
    <t>Refund</t>
  </si>
  <si>
    <t>Total Other Expense</t>
  </si>
  <si>
    <t>Net Other Income</t>
  </si>
  <si>
    <t>Net Income</t>
  </si>
  <si>
    <t>Schedule A: Expense Schedules</t>
  </si>
  <si>
    <t>Accounting</t>
  </si>
  <si>
    <t>Marketing</t>
  </si>
  <si>
    <t>Web Development</t>
  </si>
  <si>
    <t>Grant Writing</t>
  </si>
  <si>
    <t>URL Registration</t>
  </si>
  <si>
    <t>Total:</t>
  </si>
  <si>
    <t>Post Office Box</t>
  </si>
  <si>
    <t>Microsoft Office</t>
  </si>
  <si>
    <t>General stuff</t>
  </si>
  <si>
    <t>Monthly Minimum Fees</t>
  </si>
  <si>
    <t>Schedule B: County Loan Re-Payment Amortization</t>
  </si>
  <si>
    <t>New</t>
  </si>
  <si>
    <t>Outstanding</t>
  </si>
  <si>
    <t>Date</t>
  </si>
  <si>
    <t>Loan</t>
  </si>
  <si>
    <t>Payment</t>
  </si>
  <si>
    <t>Rate</t>
  </si>
  <si>
    <t>Term</t>
  </si>
  <si>
    <t>Interest</t>
  </si>
  <si>
    <t>Principle</t>
  </si>
  <si>
    <t>Balances</t>
  </si>
  <si>
    <t>No Outstanding loans</t>
  </si>
  <si>
    <t>Schedule C: Cash Flow Projection</t>
  </si>
  <si>
    <t>PTIF-8079</t>
  </si>
  <si>
    <t>PTIF-8654</t>
  </si>
  <si>
    <t>Checking</t>
  </si>
  <si>
    <t>Revenue</t>
  </si>
  <si>
    <t>Expenses less Depreciation</t>
  </si>
  <si>
    <t>Beacon Hill Grant</t>
  </si>
  <si>
    <t>Property Tax Revenue</t>
  </si>
  <si>
    <t>Loan Repayment</t>
  </si>
  <si>
    <t xml:space="preserve">Loan   </t>
  </si>
  <si>
    <t>New Balance</t>
  </si>
  <si>
    <t>10/11/2021 PTIF 8079 Balance</t>
  </si>
  <si>
    <t>10/11/2021 Zion's Balanace</t>
  </si>
  <si>
    <t>Rap Tax Funds</t>
  </si>
  <si>
    <t>Net Change Last 3 Months</t>
  </si>
  <si>
    <t>Two Months Operating Expenses:</t>
  </si>
  <si>
    <t>RAP Tax Funds</t>
  </si>
  <si>
    <t>Schedule D: Employee Compensation</t>
  </si>
  <si>
    <t>Old</t>
  </si>
  <si>
    <t>Raise</t>
  </si>
  <si>
    <t>Annual</t>
  </si>
  <si>
    <t>Employee</t>
  </si>
  <si>
    <t>%</t>
  </si>
  <si>
    <t>Hours</t>
  </si>
  <si>
    <t>Schedule E: Sports Programs and  Subsidy Summary</t>
  </si>
  <si>
    <t>Months</t>
  </si>
  <si>
    <t>Direct Expenses</t>
  </si>
  <si>
    <t>Beginning</t>
  </si>
  <si>
    <t>Ending</t>
  </si>
  <si>
    <t>May</t>
  </si>
  <si>
    <t>Flag Football</t>
  </si>
  <si>
    <t>Baseball</t>
  </si>
  <si>
    <t>Group Training</t>
  </si>
  <si>
    <t>Soccer</t>
  </si>
  <si>
    <t>Basketball</t>
  </si>
  <si>
    <t>Adult Volleyball</t>
  </si>
  <si>
    <t>Schedule F: Registration Fee Schedule</t>
  </si>
  <si>
    <t>Change</t>
  </si>
  <si>
    <t>$$s</t>
  </si>
  <si>
    <t>NA</t>
  </si>
  <si>
    <t>Youth Volleyball</t>
  </si>
  <si>
    <t># of Participants</t>
  </si>
  <si>
    <t>Reg Fee</t>
  </si>
  <si>
    <t>Thirds and Fourth</t>
  </si>
  <si>
    <t>Fifth thru Eighth</t>
  </si>
  <si>
    <t>Jersey</t>
  </si>
  <si>
    <t>Jersey Cost</t>
  </si>
  <si>
    <t>Total Pay</t>
  </si>
  <si>
    <t># of Games</t>
  </si>
  <si>
    <t xml:space="preserve"># of Refs </t>
  </si>
  <si>
    <t>Per Game Pay</t>
  </si>
  <si>
    <t>Ref Costs</t>
  </si>
  <si>
    <t>Youth Referees</t>
  </si>
  <si>
    <t>Total Cost</t>
  </si>
  <si>
    <t>Sport Directors</t>
  </si>
  <si>
    <t># of People</t>
  </si>
  <si>
    <t>Season Pay</t>
  </si>
  <si>
    <t>Director Season Pay</t>
  </si>
  <si>
    <t>Assistants</t>
  </si>
  <si>
    <t>Other</t>
  </si>
  <si>
    <t>Misc. Expenses</t>
  </si>
  <si>
    <t>Equipment</t>
  </si>
  <si>
    <t>1-2 grade</t>
  </si>
  <si>
    <t>3-4 grade</t>
  </si>
  <si>
    <t>5-6 grade</t>
  </si>
  <si>
    <t>7-8 grade</t>
  </si>
  <si>
    <t>Baseball PK and 1/2</t>
  </si>
  <si>
    <t>Baseball 3/4, 5/6 &amp; 7/9</t>
  </si>
  <si>
    <t>Softball 3/4</t>
  </si>
  <si>
    <t>Softball 6/8</t>
  </si>
  <si>
    <t>Teams</t>
  </si>
  <si>
    <t>Softball</t>
  </si>
  <si>
    <t>Henefer</t>
  </si>
  <si>
    <t>Group 1-Spring</t>
  </si>
  <si>
    <t>Group 2-Summer Younger</t>
  </si>
  <si>
    <t>Group 2-Summer Older</t>
  </si>
  <si>
    <t>Shirts</t>
  </si>
  <si>
    <t>Adult Referees</t>
  </si>
  <si>
    <t>WaterBottles</t>
  </si>
  <si>
    <t>Awards</t>
  </si>
  <si>
    <t>Tennis Balls</t>
  </si>
  <si>
    <t>Hurdles</t>
  </si>
  <si>
    <t>Rings</t>
  </si>
  <si>
    <t>Payout</t>
  </si>
  <si>
    <t>End of Season Prizes</t>
  </si>
  <si>
    <t>Buckles and stuff</t>
  </si>
  <si>
    <t>Pk-K</t>
  </si>
  <si>
    <t>1-2 Grade</t>
  </si>
  <si>
    <t>3-4 Grade</t>
  </si>
  <si>
    <t>5-6 Grade</t>
  </si>
  <si>
    <t>Coach Reimbursement</t>
  </si>
  <si>
    <t>PK-K</t>
  </si>
  <si>
    <t>1/2 Coed</t>
  </si>
  <si>
    <t>3/4 Boys  &amp; Girls</t>
  </si>
  <si>
    <t xml:space="preserve">5/6 Boys &amp; Girls </t>
  </si>
  <si>
    <t>7/8 Boys</t>
  </si>
  <si>
    <t>Score Keepers</t>
  </si>
  <si>
    <t>Supplies</t>
  </si>
  <si>
    <t>Nov</t>
  </si>
  <si>
    <t>3-4 Boys</t>
  </si>
  <si>
    <t>5-6 Girls</t>
  </si>
  <si>
    <t>5-6 Boys</t>
  </si>
  <si>
    <t>7-8 Girls</t>
  </si>
  <si>
    <t>7-8 Boys</t>
  </si>
  <si>
    <t>Donation for Shirts</t>
  </si>
  <si>
    <t>Prizes</t>
  </si>
  <si>
    <t>Team</t>
  </si>
  <si>
    <t>Winner Shirts</t>
  </si>
  <si>
    <t>Basketball Camp</t>
  </si>
  <si>
    <t>PK-3rd</t>
  </si>
  <si>
    <t>4-9th</t>
  </si>
  <si>
    <t>Kennady</t>
  </si>
  <si>
    <t>Melanie Mc Queen</t>
  </si>
  <si>
    <t>Hallie</t>
  </si>
  <si>
    <t>Tya</t>
  </si>
  <si>
    <t>Chezlie</t>
  </si>
  <si>
    <t>Tackle Football</t>
  </si>
  <si>
    <t>Vinyl</t>
  </si>
  <si>
    <t>Field Help</t>
  </si>
  <si>
    <t>League Fee</t>
  </si>
  <si>
    <t>Party</t>
  </si>
  <si>
    <t>V</t>
  </si>
  <si>
    <t>Subtotal</t>
  </si>
  <si>
    <t>Total Revenue</t>
  </si>
  <si>
    <t>Total Program Margin</t>
  </si>
  <si>
    <t>End</t>
  </si>
  <si>
    <t>Mar</t>
  </si>
  <si>
    <t>Start</t>
  </si>
  <si>
    <t>Total Direct Expenses</t>
  </si>
  <si>
    <t>Margin $</t>
  </si>
  <si>
    <t>Margin %</t>
  </si>
  <si>
    <t>Leagues / Age Brackets</t>
  </si>
  <si>
    <t>Total Athletes</t>
  </si>
  <si>
    <t>Program Margin (%)</t>
  </si>
  <si>
    <t>Program Margin ($)</t>
  </si>
  <si>
    <t>Direct Expense / Athlete</t>
  </si>
  <si>
    <t>Revenue / Athlete</t>
  </si>
  <si>
    <t>Program Margin</t>
  </si>
  <si>
    <t>Program KPIs</t>
  </si>
  <si>
    <t># of Athletes</t>
  </si>
  <si>
    <t>Margin ($) / Athlete</t>
  </si>
  <si>
    <t>Apr</t>
  </si>
  <si>
    <t>Coach Credit 12</t>
  </si>
  <si>
    <t>Jun</t>
  </si>
  <si>
    <t>Baseball &amp; Softball</t>
  </si>
  <si>
    <t>Equestrian</t>
  </si>
  <si>
    <t>Aug</t>
  </si>
  <si>
    <t>All</t>
  </si>
  <si>
    <t>Sep</t>
  </si>
  <si>
    <t># Hours</t>
  </si>
  <si>
    <t>Dec</t>
  </si>
  <si>
    <t>Feb</t>
  </si>
  <si>
    <t>3on3 Basketball</t>
  </si>
  <si>
    <t>Program</t>
  </si>
  <si>
    <t>Direct Expense</t>
  </si>
  <si>
    <t>Margin ($)</t>
  </si>
  <si>
    <t>Program KPIS</t>
  </si>
  <si>
    <t>Total ($)</t>
  </si>
  <si>
    <t>Per Athlete ($)</t>
  </si>
  <si>
    <t># Athletes</t>
  </si>
  <si>
    <t>Per Athlete KPIS</t>
  </si>
  <si>
    <t>Margin Needed to B/E</t>
  </si>
  <si>
    <t>All Ages</t>
  </si>
  <si>
    <t>Jerseys</t>
  </si>
  <si>
    <t>Jul</t>
  </si>
  <si>
    <t>Director Salary</t>
  </si>
  <si>
    <t>Director Health Care</t>
  </si>
  <si>
    <t>Retirement</t>
  </si>
  <si>
    <t>Dental</t>
  </si>
  <si>
    <t>Life Insurance</t>
  </si>
  <si>
    <t>Disability</t>
  </si>
  <si>
    <t>Maintenance Contract Co.</t>
  </si>
  <si>
    <t>Part Time Program Coordinator</t>
  </si>
  <si>
    <t>V to '23B</t>
  </si>
  <si>
    <t>2024 Budgeted Income Statement</t>
  </si>
  <si>
    <t>Jan</t>
  </si>
  <si>
    <t>Oct</t>
  </si>
  <si>
    <t>Schedule G: Scholarships</t>
  </si>
  <si>
    <t>V%</t>
  </si>
  <si>
    <t>Scholarship Amount</t>
  </si>
  <si>
    <t>Expense/Mo</t>
  </si>
  <si>
    <t>Check (should be  0)</t>
  </si>
  <si>
    <t>Schedule F: Program Exp by Month</t>
  </si>
  <si>
    <t>Mar Youth Volleyball</t>
  </si>
  <si>
    <t>Apr-May Flag Football</t>
  </si>
  <si>
    <t>May-Jun Baseball &amp; Softball</t>
  </si>
  <si>
    <t>Group Training-April</t>
  </si>
  <si>
    <t>Equestrian May to Aug</t>
  </si>
  <si>
    <t>Aug-Sep Soccer</t>
  </si>
  <si>
    <t>Dec-Feb Basketball</t>
  </si>
  <si>
    <t>Nov 3on3 Basketball</t>
  </si>
  <si>
    <t>Jun-Adult Volleyball</t>
  </si>
  <si>
    <t>Jul-Sep Tackle Football</t>
  </si>
  <si>
    <t>Checks (should be 0)</t>
  </si>
  <si>
    <t>Jun-Basketball Camp</t>
  </si>
  <si>
    <t>??</t>
  </si>
  <si>
    <t>Projected Interest Rate</t>
  </si>
  <si>
    <t>Days</t>
  </si>
  <si>
    <r>
      <t>Sche</t>
    </r>
    <r>
      <rPr>
        <sz val="14"/>
        <color theme="1"/>
        <rFont val="Calibri"/>
        <family val="2"/>
        <scheme val="minor"/>
      </rPr>
      <t>duel H: Rax Tax Interest</t>
    </r>
  </si>
  <si>
    <t>Fica Tax</t>
  </si>
  <si>
    <t>Part time Accountant</t>
  </si>
  <si>
    <t>x</t>
  </si>
  <si>
    <t>Loan Balance</t>
  </si>
  <si>
    <t>Monthly</t>
  </si>
  <si>
    <t>2023 Budget montly pay rate</t>
  </si>
  <si>
    <t>Do we Raise Fees by 10%</t>
  </si>
  <si>
    <t>Variance</t>
  </si>
  <si>
    <r>
      <t xml:space="preserve">Schedule I </t>
    </r>
    <r>
      <rPr>
        <sz val="14"/>
        <color theme="1"/>
        <rFont val="Calibri"/>
        <family val="2"/>
        <scheme val="minor"/>
      </rPr>
      <t>: Property Tax</t>
    </r>
    <r>
      <rPr>
        <b/>
        <sz val="14"/>
        <color theme="1"/>
        <rFont val="Calibri"/>
        <family val="2"/>
        <scheme val="minor"/>
      </rPr>
      <t xml:space="preserve"> Income</t>
    </r>
  </si>
  <si>
    <t>Hrs</t>
  </si>
  <si>
    <t>Weeks</t>
  </si>
  <si>
    <t>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</si>
</sst>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[$-409]mmm\-yy;@"/>
    <numFmt numFmtId="167" formatCode="[$-409]mmmm\ d\,\ yyyy;@"/>
    <numFmt numFmtId="168" formatCode="0.0%"/>
    <numFmt numFmtId="169" formatCode="#,##0.00;\-#,##0.00"/>
    <numFmt numFmtId="170" formatCode="&quot;$&quot;\ #,##0_);\(&quot;$&quot;\ #,##0\)"/>
    <numFmt numFmtId="172" formatCode="&quot;$&quot;\ #,##0.00_);\(&quot;$&quot;\ #,##0.00\)"/>
    <numFmt numFmtId="174" formatCode="&quot;$&quot;\ #,##0_);&quot;$&quot;\ \(#,##0\)"/>
    <numFmt numFmtId="175" formatCode="0_);\(0\)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8"/>
      <color theme="0"/>
      <name val="Arial"/>
      <family val="2"/>
    </font>
    <font>
      <sz val="8"/>
      <color theme="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rgb="FF00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theme="0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513D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DC5E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4CDE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 style="medium">
        <color rgb="FF513D8B"/>
      </left>
      <right/>
      <top style="medium">
        <color rgb="FF513D8B"/>
      </top>
      <bottom style="medium">
        <color rgb="FF513D8B"/>
      </bottom>
      <diagonal/>
    </border>
    <border>
      <left/>
      <right/>
      <top style="medium">
        <color rgb="FF513D8B"/>
      </top>
      <bottom style="medium">
        <color rgb="FF513D8B"/>
      </bottom>
      <diagonal/>
    </border>
    <border>
      <left/>
      <right style="medium">
        <color rgb="FF513D8B"/>
      </right>
      <top style="medium">
        <color rgb="FF513D8B"/>
      </top>
      <bottom style="medium">
        <color rgb="FF513D8B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513D8B"/>
      </left>
      <right style="medium">
        <color rgb="FF513D8B"/>
      </right>
      <top style="medium">
        <color rgb="FF513D8B"/>
      </top>
      <bottom style="medium">
        <color rgb="FF513D8B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6">
    <xf numFmtId="0" fontId="0" fillId="0" borderId="0" xfId="0"/>
    <xf numFmtId="0" fontId="2" fillId="2" borderId="0" xfId="0" applyFont="1" applyFill="1" applyAlignment="1">
      <alignment horizontal="center"/>
    </xf>
    <xf numFmtId="43" fontId="0" fillId="0" borderId="0" xfId="1" applyFont="1"/>
    <xf numFmtId="164" fontId="0" fillId="0" borderId="0" xfId="2" applyNumberFormat="1" applyFont="1"/>
    <xf numFmtId="164" fontId="3" fillId="0" borderId="0" xfId="2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164" fontId="0" fillId="0" borderId="0" xfId="0" applyNumberFormat="1"/>
    <xf numFmtId="164" fontId="3" fillId="0" borderId="0" xfId="0" applyNumberFormat="1" applyFont="1"/>
    <xf numFmtId="0" fontId="4" fillId="0" borderId="0" xfId="0" applyFont="1"/>
    <xf numFmtId="164" fontId="0" fillId="0" borderId="0" xfId="2" applyNumberFormat="1" applyFont="1" applyFill="1"/>
    <xf numFmtId="0" fontId="3" fillId="0" borderId="0" xfId="0" applyFont="1" applyAlignment="1">
      <alignment horizontal="center"/>
    </xf>
    <xf numFmtId="164" fontId="3" fillId="0" borderId="0" xfId="2" applyNumberFormat="1" applyFont="1" applyFill="1"/>
    <xf numFmtId="164" fontId="3" fillId="0" borderId="0" xfId="2" applyNumberFormat="1" applyFont="1" applyBorder="1"/>
    <xf numFmtId="44" fontId="0" fillId="0" borderId="0" xfId="2" applyFont="1"/>
    <xf numFmtId="164" fontId="0" fillId="3" borderId="0" xfId="2" applyNumberFormat="1" applyFont="1" applyFill="1"/>
    <xf numFmtId="0" fontId="5" fillId="2" borderId="0" xfId="0" applyFont="1" applyFill="1"/>
    <xf numFmtId="164" fontId="2" fillId="2" borderId="0" xfId="2" applyNumberFormat="1" applyFont="1" applyFill="1" applyAlignment="1">
      <alignment horizontal="center"/>
    </xf>
    <xf numFmtId="0" fontId="0" fillId="5" borderId="0" xfId="0" applyFill="1"/>
    <xf numFmtId="164" fontId="0" fillId="5" borderId="0" xfId="2" applyNumberFormat="1" applyFont="1" applyFill="1"/>
    <xf numFmtId="0" fontId="6" fillId="0" borderId="0" xfId="0" applyFont="1"/>
    <xf numFmtId="0" fontId="9" fillId="0" borderId="0" xfId="0" applyFont="1"/>
    <xf numFmtId="49" fontId="10" fillId="0" borderId="0" xfId="0" applyNumberFormat="1" applyFont="1"/>
    <xf numFmtId="49" fontId="11" fillId="0" borderId="0" xfId="0" applyNumberFormat="1" applyFont="1"/>
    <xf numFmtId="39" fontId="11" fillId="0" borderId="0" xfId="0" applyNumberFormat="1" applyFont="1"/>
    <xf numFmtId="0" fontId="12" fillId="6" borderId="0" xfId="0" applyFont="1" applyFill="1"/>
    <xf numFmtId="0" fontId="12" fillId="0" borderId="0" xfId="0" applyFont="1"/>
    <xf numFmtId="0" fontId="13" fillId="0" borderId="0" xfId="0" applyFont="1"/>
    <xf numFmtId="0" fontId="14" fillId="0" borderId="0" xfId="0" applyFont="1"/>
    <xf numFmtId="166" fontId="15" fillId="2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4" fillId="4" borderId="0" xfId="0" applyFont="1" applyFill="1"/>
    <xf numFmtId="0" fontId="0" fillId="4" borderId="0" xfId="0" applyFill="1"/>
    <xf numFmtId="0" fontId="3" fillId="4" borderId="0" xfId="0" applyFont="1" applyFill="1"/>
    <xf numFmtId="14" fontId="0" fillId="0" borderId="0" xfId="0" applyNumberFormat="1"/>
    <xf numFmtId="44" fontId="0" fillId="0" borderId="0" xfId="0" applyNumberFormat="1"/>
    <xf numFmtId="10" fontId="0" fillId="0" borderId="0" xfId="3" applyNumberFormat="1" applyFont="1"/>
    <xf numFmtId="165" fontId="0" fillId="0" borderId="0" xfId="1" applyNumberFormat="1" applyFont="1" applyFill="1"/>
    <xf numFmtId="44" fontId="0" fillId="0" borderId="0" xfId="2" applyFont="1" applyFill="1"/>
    <xf numFmtId="0" fontId="0" fillId="0" borderId="0" xfId="0" applyAlignment="1">
      <alignment horizontal="right"/>
    </xf>
    <xf numFmtId="166" fontId="2" fillId="2" borderId="0" xfId="2" applyNumberFormat="1" applyFont="1" applyFill="1" applyAlignment="1">
      <alignment horizontal="center"/>
    </xf>
    <xf numFmtId="0" fontId="16" fillId="2" borderId="0" xfId="0" applyFont="1" applyFill="1"/>
    <xf numFmtId="0" fontId="9" fillId="4" borderId="0" xfId="0" applyFont="1" applyFill="1"/>
    <xf numFmtId="49" fontId="17" fillId="0" borderId="0" xfId="0" applyNumberFormat="1" applyFont="1"/>
    <xf numFmtId="49" fontId="18" fillId="0" borderId="0" xfId="0" applyNumberFormat="1" applyFont="1"/>
    <xf numFmtId="49" fontId="18" fillId="5" borderId="0" xfId="0" applyNumberFormat="1" applyFont="1" applyFill="1"/>
    <xf numFmtId="49" fontId="17" fillId="5" borderId="0" xfId="0" applyNumberFormat="1" applyFont="1" applyFill="1"/>
    <xf numFmtId="164" fontId="3" fillId="5" borderId="0" xfId="2" applyNumberFormat="1" applyFont="1" applyFill="1"/>
    <xf numFmtId="49" fontId="18" fillId="7" borderId="10" xfId="0" applyNumberFormat="1" applyFont="1" applyFill="1" applyBorder="1"/>
    <xf numFmtId="166" fontId="19" fillId="2" borderId="0" xfId="0" applyNumberFormat="1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166" fontId="9" fillId="0" borderId="0" xfId="0" applyNumberFormat="1" applyFont="1"/>
    <xf numFmtId="0" fontId="20" fillId="2" borderId="0" xfId="0" applyFont="1" applyFill="1"/>
    <xf numFmtId="0" fontId="9" fillId="6" borderId="0" xfId="0" applyFont="1" applyFill="1"/>
    <xf numFmtId="49" fontId="21" fillId="0" borderId="0" xfId="0" applyNumberFormat="1" applyFont="1"/>
    <xf numFmtId="164" fontId="21" fillId="0" borderId="0" xfId="2" applyNumberFormat="1" applyFont="1"/>
    <xf numFmtId="164" fontId="17" fillId="0" borderId="0" xfId="2" applyNumberFormat="1" applyFont="1"/>
    <xf numFmtId="9" fontId="9" fillId="0" borderId="0" xfId="3" applyFont="1"/>
    <xf numFmtId="49" fontId="21" fillId="5" borderId="0" xfId="0" applyNumberFormat="1" applyFont="1" applyFill="1"/>
    <xf numFmtId="164" fontId="21" fillId="5" borderId="0" xfId="2" applyNumberFormat="1" applyFont="1" applyFill="1" applyBorder="1"/>
    <xf numFmtId="164" fontId="17" fillId="5" borderId="0" xfId="2" applyNumberFormat="1" applyFont="1" applyFill="1"/>
    <xf numFmtId="49" fontId="17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right"/>
    </xf>
    <xf numFmtId="164" fontId="10" fillId="0" borderId="0" xfId="2" applyNumberFormat="1" applyFont="1"/>
    <xf numFmtId="49" fontId="11" fillId="6" borderId="0" xfId="0" applyNumberFormat="1" applyFont="1" applyFill="1"/>
    <xf numFmtId="164" fontId="11" fillId="6" borderId="0" xfId="2" applyNumberFormat="1" applyFont="1" applyFill="1"/>
    <xf numFmtId="164" fontId="11" fillId="0" borderId="0" xfId="2" applyNumberFormat="1" applyFont="1"/>
    <xf numFmtId="164" fontId="21" fillId="5" borderId="0" xfId="2" applyNumberFormat="1" applyFont="1" applyFill="1"/>
    <xf numFmtId="164" fontId="10" fillId="0" borderId="0" xfId="2" applyNumberFormat="1" applyFont="1" applyBorder="1"/>
    <xf numFmtId="164" fontId="10" fillId="4" borderId="0" xfId="2" applyNumberFormat="1" applyFont="1" applyFill="1" applyBorder="1"/>
    <xf numFmtId="164" fontId="10" fillId="4" borderId="0" xfId="2" applyNumberFormat="1" applyFont="1" applyFill="1"/>
    <xf numFmtId="164" fontId="21" fillId="0" borderId="0" xfId="2" applyNumberFormat="1" applyFont="1" applyFill="1"/>
    <xf numFmtId="164" fontId="13" fillId="0" borderId="0" xfId="0" applyNumberFormat="1" applyFont="1"/>
    <xf numFmtId="164" fontId="10" fillId="7" borderId="11" xfId="2" applyNumberFormat="1" applyFont="1" applyFill="1" applyBorder="1"/>
    <xf numFmtId="164" fontId="10" fillId="7" borderId="12" xfId="2" applyNumberFormat="1" applyFont="1" applyFill="1" applyBorder="1"/>
    <xf numFmtId="39" fontId="11" fillId="6" borderId="0" xfId="0" applyNumberFormat="1" applyFont="1" applyFill="1"/>
    <xf numFmtId="164" fontId="17" fillId="0" borderId="0" xfId="2" applyNumberFormat="1" applyFont="1" applyFill="1"/>
    <xf numFmtId="164" fontId="10" fillId="6" borderId="0" xfId="2" applyNumberFormat="1" applyFont="1" applyFill="1" applyBorder="1"/>
    <xf numFmtId="164" fontId="10" fillId="0" borderId="0" xfId="2" applyNumberFormat="1" applyFont="1" applyFill="1" applyBorder="1"/>
    <xf numFmtId="164" fontId="21" fillId="0" borderId="0" xfId="2" applyNumberFormat="1" applyFont="1" applyFill="1" applyBorder="1"/>
    <xf numFmtId="164" fontId="17" fillId="0" borderId="0" xfId="2" applyNumberFormat="1" applyFont="1" applyBorder="1"/>
    <xf numFmtId="164" fontId="11" fillId="6" borderId="0" xfId="2" applyNumberFormat="1" applyFont="1" applyFill="1" applyBorder="1"/>
    <xf numFmtId="0" fontId="22" fillId="2" borderId="0" xfId="0" applyFont="1" applyFill="1"/>
    <xf numFmtId="0" fontId="14" fillId="6" borderId="0" xfId="0" applyFont="1" applyFill="1"/>
    <xf numFmtId="49" fontId="18" fillId="6" borderId="0" xfId="0" applyNumberFormat="1" applyFont="1" applyFill="1"/>
    <xf numFmtId="49" fontId="18" fillId="4" borderId="0" xfId="0" applyNumberFormat="1" applyFont="1" applyFill="1"/>
    <xf numFmtId="49" fontId="18" fillId="4" borderId="0" xfId="0" applyNumberFormat="1" applyFont="1" applyFill="1" applyAlignment="1">
      <alignment horizontal="left"/>
    </xf>
    <xf numFmtId="164" fontId="3" fillId="3" borderId="0" xfId="2" applyNumberFormat="1" applyFont="1" applyFill="1"/>
    <xf numFmtId="44" fontId="3" fillId="0" borderId="0" xfId="2" applyFont="1"/>
    <xf numFmtId="0" fontId="6" fillId="0" borderId="0" xfId="0" applyFont="1" applyAlignment="1">
      <alignment horizontal="left"/>
    </xf>
    <xf numFmtId="10" fontId="2" fillId="2" borderId="0" xfId="3" applyNumberFormat="1" applyFont="1" applyFill="1" applyAlignment="1"/>
    <xf numFmtId="10" fontId="2" fillId="2" borderId="0" xfId="3" applyNumberFormat="1" applyFont="1" applyFill="1" applyAlignment="1">
      <alignment horizontal="center"/>
    </xf>
    <xf numFmtId="164" fontId="0" fillId="0" borderId="0" xfId="2" applyNumberFormat="1" applyFont="1" applyAlignment="1">
      <alignment horizontal="right"/>
    </xf>
    <xf numFmtId="0" fontId="7" fillId="0" borderId="0" xfId="0" applyFont="1" applyAlignment="1">
      <alignment horizontal="center"/>
    </xf>
    <xf numFmtId="164" fontId="7" fillId="0" borderId="0" xfId="2" applyNumberFormat="1" applyFont="1" applyFill="1" applyAlignment="1">
      <alignment horizontal="center"/>
    </xf>
    <xf numFmtId="10" fontId="7" fillId="0" borderId="0" xfId="3" applyNumberFormat="1" applyFont="1" applyFill="1" applyAlignment="1">
      <alignment horizontal="center"/>
    </xf>
    <xf numFmtId="0" fontId="23" fillId="0" borderId="0" xfId="0" applyFont="1"/>
    <xf numFmtId="165" fontId="0" fillId="0" borderId="0" xfId="1" applyNumberFormat="1" applyFont="1"/>
    <xf numFmtId="165" fontId="2" fillId="2" borderId="0" xfId="1" applyNumberFormat="1" applyFont="1" applyFill="1" applyAlignment="1"/>
    <xf numFmtId="165" fontId="2" fillId="2" borderId="0" xfId="1" applyNumberFormat="1" applyFont="1" applyFill="1" applyAlignment="1">
      <alignment horizontal="center"/>
    </xf>
    <xf numFmtId="165" fontId="7" fillId="0" borderId="0" xfId="1" applyNumberFormat="1" applyFont="1" applyFill="1" applyAlignment="1">
      <alignment horizontal="center"/>
    </xf>
    <xf numFmtId="164" fontId="24" fillId="7" borderId="8" xfId="0" applyNumberFormat="1" applyFont="1" applyFill="1" applyBorder="1"/>
    <xf numFmtId="49" fontId="25" fillId="7" borderId="10" xfId="0" applyNumberFormat="1" applyFont="1" applyFill="1" applyBorder="1"/>
    <xf numFmtId="0" fontId="26" fillId="0" borderId="0" xfId="0" applyFont="1"/>
    <xf numFmtId="0" fontId="27" fillId="0" borderId="0" xfId="0" applyFont="1"/>
    <xf numFmtId="0" fontId="24" fillId="0" borderId="0" xfId="0" applyFont="1"/>
    <xf numFmtId="0" fontId="28" fillId="7" borderId="4" xfId="0" applyFont="1" applyFill="1" applyBorder="1"/>
    <xf numFmtId="0" fontId="28" fillId="7" borderId="5" xfId="0" applyFont="1" applyFill="1" applyBorder="1"/>
    <xf numFmtId="0" fontId="24" fillId="7" borderId="5" xfId="0" applyFont="1" applyFill="1" applyBorder="1" applyAlignment="1">
      <alignment horizontal="right"/>
    </xf>
    <xf numFmtId="164" fontId="24" fillId="7" borderId="5" xfId="0" applyNumberFormat="1" applyFont="1" applyFill="1" applyBorder="1"/>
    <xf numFmtId="164" fontId="24" fillId="7" borderId="6" xfId="0" applyNumberFormat="1" applyFont="1" applyFill="1" applyBorder="1"/>
    <xf numFmtId="164" fontId="24" fillId="0" borderId="0" xfId="0" applyNumberFormat="1" applyFont="1"/>
    <xf numFmtId="0" fontId="28" fillId="7" borderId="7" xfId="0" applyFont="1" applyFill="1" applyBorder="1"/>
    <xf numFmtId="0" fontId="28" fillId="7" borderId="8" xfId="0" applyFont="1" applyFill="1" applyBorder="1"/>
    <xf numFmtId="0" fontId="24" fillId="7" borderId="8" xfId="0" applyFont="1" applyFill="1" applyBorder="1" applyAlignment="1">
      <alignment horizontal="right"/>
    </xf>
    <xf numFmtId="0" fontId="24" fillId="7" borderId="9" xfId="0" applyFont="1" applyFill="1" applyBorder="1"/>
    <xf numFmtId="0" fontId="29" fillId="0" borderId="0" xfId="0" applyFont="1"/>
    <xf numFmtId="166" fontId="30" fillId="2" borderId="0" xfId="0" applyNumberFormat="1" applyFont="1" applyFill="1" applyAlignment="1">
      <alignment horizontal="center"/>
    </xf>
    <xf numFmtId="49" fontId="31" fillId="0" borderId="0" xfId="0" applyNumberFormat="1" applyFont="1"/>
    <xf numFmtId="49" fontId="32" fillId="0" borderId="0" xfId="0" applyNumberFormat="1" applyFont="1"/>
    <xf numFmtId="39" fontId="32" fillId="0" borderId="0" xfId="0" applyNumberFormat="1" applyFont="1"/>
    <xf numFmtId="0" fontId="33" fillId="2" borderId="0" xfId="0" applyFont="1" applyFill="1" applyAlignment="1">
      <alignment horizontal="center"/>
    </xf>
    <xf numFmtId="0" fontId="35" fillId="0" borderId="5" xfId="0" applyFont="1" applyBorder="1"/>
    <xf numFmtId="0" fontId="36" fillId="0" borderId="4" xfId="0" applyFont="1" applyBorder="1"/>
    <xf numFmtId="0" fontId="35" fillId="0" borderId="0" xfId="0" applyFont="1"/>
    <xf numFmtId="0" fontId="36" fillId="0" borderId="16" xfId="0" applyFont="1" applyBorder="1"/>
    <xf numFmtId="0" fontId="37" fillId="0" borderId="0" xfId="0" applyFont="1"/>
    <xf numFmtId="0" fontId="35" fillId="0" borderId="17" xfId="0" applyFont="1" applyBorder="1"/>
    <xf numFmtId="0" fontId="38" fillId="0" borderId="7" xfId="0" applyFont="1" applyBorder="1"/>
    <xf numFmtId="0" fontId="39" fillId="0" borderId="8" xfId="0" applyFont="1" applyBorder="1"/>
    <xf numFmtId="0" fontId="35" fillId="0" borderId="8" xfId="0" applyFont="1" applyBorder="1"/>
    <xf numFmtId="0" fontId="35" fillId="0" borderId="9" xfId="0" applyFont="1" applyBorder="1"/>
    <xf numFmtId="0" fontId="35" fillId="0" borderId="8" xfId="0" applyFont="1" applyBorder="1" applyAlignment="1">
      <alignment horizontal="center"/>
    </xf>
    <xf numFmtId="0" fontId="41" fillId="0" borderId="8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2" fillId="0" borderId="19" xfId="0" applyFont="1" applyBorder="1" applyAlignment="1">
      <alignment horizontal="center" vertical="center"/>
    </xf>
    <xf numFmtId="0" fontId="42" fillId="0" borderId="19" xfId="0" applyFont="1" applyBorder="1" applyAlignment="1">
      <alignment horizontal="center" vertical="center" wrapText="1"/>
    </xf>
    <xf numFmtId="0" fontId="42" fillId="0" borderId="6" xfId="0" applyFont="1" applyBorder="1" applyAlignment="1">
      <alignment horizontal="center" vertical="center" wrapText="1"/>
    </xf>
    <xf numFmtId="0" fontId="43" fillId="0" borderId="20" xfId="0" applyFont="1" applyBorder="1" applyAlignment="1">
      <alignment horizontal="center"/>
    </xf>
    <xf numFmtId="0" fontId="43" fillId="0" borderId="9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21" xfId="0" applyFont="1" applyBorder="1"/>
    <xf numFmtId="0" fontId="35" fillId="0" borderId="22" xfId="0" applyFont="1" applyBorder="1"/>
    <xf numFmtId="0" fontId="35" fillId="0" borderId="23" xfId="0" applyFont="1" applyBorder="1" applyAlignment="1">
      <alignment horizontal="center"/>
    </xf>
    <xf numFmtId="0" fontId="35" fillId="9" borderId="23" xfId="0" applyFont="1" applyFill="1" applyBorder="1"/>
    <xf numFmtId="0" fontId="44" fillId="0" borderId="18" xfId="0" applyFont="1" applyBorder="1" applyAlignment="1">
      <alignment horizontal="left"/>
    </xf>
    <xf numFmtId="0" fontId="44" fillId="0" borderId="18" xfId="0" applyFont="1" applyBorder="1"/>
    <xf numFmtId="165" fontId="44" fillId="0" borderId="18" xfId="1" applyNumberFormat="1" applyFont="1" applyBorder="1"/>
    <xf numFmtId="0" fontId="35" fillId="0" borderId="18" xfId="0" applyFont="1" applyBorder="1"/>
    <xf numFmtId="0" fontId="35" fillId="9" borderId="18" xfId="0" applyFont="1" applyFill="1" applyBorder="1"/>
    <xf numFmtId="165" fontId="35" fillId="9" borderId="18" xfId="1" applyNumberFormat="1" applyFont="1" applyFill="1" applyBorder="1"/>
    <xf numFmtId="49" fontId="44" fillId="0" borderId="18" xfId="0" applyNumberFormat="1" applyFont="1" applyBorder="1" applyAlignment="1">
      <alignment horizontal="left"/>
    </xf>
    <xf numFmtId="49" fontId="44" fillId="0" borderId="19" xfId="0" applyNumberFormat="1" applyFont="1" applyBorder="1" applyAlignment="1">
      <alignment horizontal="left"/>
    </xf>
    <xf numFmtId="0" fontId="44" fillId="0" borderId="19" xfId="0" applyFont="1" applyBorder="1"/>
    <xf numFmtId="165" fontId="44" fillId="0" borderId="19" xfId="1" applyNumberFormat="1" applyFont="1" applyBorder="1"/>
    <xf numFmtId="0" fontId="44" fillId="0" borderId="26" xfId="0" applyFont="1" applyBorder="1" applyAlignment="1">
      <alignment horizontal="left"/>
    </xf>
    <xf numFmtId="0" fontId="44" fillId="0" borderId="29" xfId="0" applyFont="1" applyBorder="1"/>
    <xf numFmtId="165" fontId="44" fillId="0" borderId="29" xfId="1" applyNumberFormat="1" applyFont="1" applyBorder="1"/>
    <xf numFmtId="0" fontId="35" fillId="0" borderId="30" xfId="0" applyFont="1" applyBorder="1"/>
    <xf numFmtId="165" fontId="35" fillId="0" borderId="0" xfId="1" applyNumberFormat="1" applyFont="1"/>
    <xf numFmtId="165" fontId="35" fillId="0" borderId="31" xfId="1" applyNumberFormat="1" applyFont="1" applyBorder="1"/>
    <xf numFmtId="165" fontId="35" fillId="9" borderId="23" xfId="1" applyNumberFormat="1" applyFont="1" applyFill="1" applyBorder="1"/>
    <xf numFmtId="0" fontId="44" fillId="0" borderId="10" xfId="0" applyFont="1" applyBorder="1" applyAlignment="1">
      <alignment horizontal="left"/>
    </xf>
    <xf numFmtId="0" fontId="44" fillId="0" borderId="12" xfId="0" applyFont="1" applyBorder="1" applyAlignment="1">
      <alignment horizontal="left"/>
    </xf>
    <xf numFmtId="0" fontId="44" fillId="0" borderId="32" xfId="0" applyFont="1" applyBorder="1" applyAlignment="1">
      <alignment horizontal="left"/>
    </xf>
    <xf numFmtId="0" fontId="44" fillId="9" borderId="32" xfId="0" applyFont="1" applyFill="1" applyBorder="1"/>
    <xf numFmtId="165" fontId="44" fillId="0" borderId="32" xfId="1" applyNumberFormat="1" applyFont="1" applyBorder="1"/>
    <xf numFmtId="0" fontId="35" fillId="0" borderId="35" xfId="0" applyFont="1" applyBorder="1" applyAlignment="1">
      <alignment horizontal="center"/>
    </xf>
    <xf numFmtId="0" fontId="35" fillId="0" borderId="36" xfId="0" applyFont="1" applyBorder="1" applyAlignment="1">
      <alignment horizontal="center"/>
    </xf>
    <xf numFmtId="0" fontId="35" fillId="0" borderId="37" xfId="0" applyFont="1" applyBorder="1" applyAlignment="1">
      <alignment horizontal="center"/>
    </xf>
    <xf numFmtId="165" fontId="35" fillId="0" borderId="0" xfId="0" applyNumberFormat="1" applyFont="1"/>
    <xf numFmtId="165" fontId="3" fillId="0" borderId="0" xfId="0" applyNumberFormat="1" applyFont="1"/>
    <xf numFmtId="44" fontId="13" fillId="0" borderId="0" xfId="0" applyNumberFormat="1" applyFont="1"/>
    <xf numFmtId="0" fontId="12" fillId="0" borderId="0" xfId="0" applyFont="1" applyAlignment="1">
      <alignment horizontal="left" wrapText="1"/>
    </xf>
    <xf numFmtId="10" fontId="9" fillId="0" borderId="0" xfId="3" applyNumberFormat="1" applyFont="1"/>
    <xf numFmtId="9" fontId="0" fillId="0" borderId="0" xfId="2" applyNumberFormat="1" applyFont="1"/>
    <xf numFmtId="0" fontId="14" fillId="0" borderId="0" xfId="0" applyFont="1" applyAlignment="1">
      <alignment horizontal="left" wrapText="1"/>
    </xf>
    <xf numFmtId="49" fontId="10" fillId="0" borderId="0" xfId="0" applyNumberFormat="1" applyFont="1" applyAlignment="1">
      <alignment horizontal="center"/>
    </xf>
    <xf numFmtId="49" fontId="10" fillId="0" borderId="38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9" fontId="11" fillId="0" borderId="0" xfId="0" applyNumberFormat="1" applyFont="1"/>
    <xf numFmtId="169" fontId="11" fillId="0" borderId="39" xfId="0" applyNumberFormat="1" applyFont="1" applyBorder="1"/>
    <xf numFmtId="169" fontId="11" fillId="0" borderId="14" xfId="0" applyNumberFormat="1" applyFont="1" applyBorder="1"/>
    <xf numFmtId="169" fontId="11" fillId="0" borderId="40" xfId="0" applyNumberFormat="1" applyFont="1" applyBorder="1"/>
    <xf numFmtId="169" fontId="10" fillId="0" borderId="41" xfId="0" applyNumberFormat="1" applyFont="1" applyBorder="1"/>
    <xf numFmtId="0" fontId="10" fillId="0" borderId="0" xfId="0" applyFont="1"/>
    <xf numFmtId="169" fontId="11" fillId="3" borderId="0" xfId="0" applyNumberFormat="1" applyFont="1" applyFill="1"/>
    <xf numFmtId="169" fontId="11" fillId="3" borderId="39" xfId="0" applyNumberFormat="1" applyFont="1" applyFill="1" applyBorder="1"/>
    <xf numFmtId="169" fontId="11" fillId="3" borderId="14" xfId="0" applyNumberFormat="1" applyFont="1" applyFill="1" applyBorder="1"/>
    <xf numFmtId="169" fontId="11" fillId="3" borderId="40" xfId="0" applyNumberFormat="1" applyFont="1" applyFill="1" applyBorder="1"/>
    <xf numFmtId="169" fontId="10" fillId="3" borderId="41" xfId="0" applyNumberFormat="1" applyFont="1" applyFill="1" applyBorder="1"/>
    <xf numFmtId="39" fontId="0" fillId="0" borderId="0" xfId="0" applyNumberFormat="1"/>
    <xf numFmtId="168" fontId="11" fillId="0" borderId="0" xfId="3" applyNumberFormat="1" applyFont="1"/>
    <xf numFmtId="16" fontId="0" fillId="0" borderId="0" xfId="0" applyNumberFormat="1"/>
    <xf numFmtId="0" fontId="3" fillId="7" borderId="0" xfId="0" applyFont="1" applyFill="1"/>
    <xf numFmtId="0" fontId="0" fillId="7" borderId="0" xfId="0" applyFill="1"/>
    <xf numFmtId="10" fontId="0" fillId="7" borderId="0" xfId="3" applyNumberFormat="1" applyFont="1" applyFill="1"/>
    <xf numFmtId="164" fontId="0" fillId="7" borderId="0" xfId="2" applyNumberFormat="1" applyFont="1" applyFill="1"/>
    <xf numFmtId="164" fontId="0" fillId="7" borderId="0" xfId="0" applyNumberFormat="1" applyFill="1"/>
    <xf numFmtId="10" fontId="0" fillId="0" borderId="0" xfId="0" applyNumberFormat="1"/>
    <xf numFmtId="43" fontId="0" fillId="0" borderId="0" xfId="0" applyNumberFormat="1"/>
    <xf numFmtId="38" fontId="0" fillId="0" borderId="0" xfId="0" applyNumberFormat="1" applyAlignment="1">
      <alignment horizontal="center"/>
    </xf>
    <xf numFmtId="38" fontId="3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right"/>
    </xf>
    <xf numFmtId="49" fontId="10" fillId="7" borderId="11" xfId="0" applyNumberFormat="1" applyFont="1" applyFill="1" applyBorder="1" applyAlignment="1">
      <alignment horizontal="right"/>
    </xf>
    <xf numFmtId="0" fontId="42" fillId="0" borderId="33" xfId="0" applyFont="1" applyBorder="1" applyAlignment="1">
      <alignment horizontal="left"/>
    </xf>
    <xf numFmtId="0" fontId="42" fillId="0" borderId="34" xfId="0" applyFont="1" applyBorder="1" applyAlignment="1">
      <alignment horizontal="left"/>
    </xf>
    <xf numFmtId="0" fontId="35" fillId="0" borderId="16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17" xfId="0" applyFont="1" applyBorder="1" applyAlignment="1">
      <alignment horizontal="center"/>
    </xf>
    <xf numFmtId="0" fontId="35" fillId="0" borderId="7" xfId="0" applyFont="1" applyBorder="1" applyAlignment="1">
      <alignment horizontal="center"/>
    </xf>
    <xf numFmtId="0" fontId="35" fillId="0" borderId="8" xfId="0" applyFont="1" applyBorder="1" applyAlignment="1">
      <alignment horizontal="center"/>
    </xf>
    <xf numFmtId="0" fontId="44" fillId="0" borderId="10" xfId="0" applyFont="1" applyBorder="1" applyAlignment="1">
      <alignment horizontal="left"/>
    </xf>
    <xf numFmtId="0" fontId="44" fillId="0" borderId="12" xfId="0" applyFont="1" applyBorder="1" applyAlignment="1">
      <alignment horizontal="left"/>
    </xf>
    <xf numFmtId="0" fontId="45" fillId="0" borderId="10" xfId="0" applyFont="1" applyBorder="1" applyAlignment="1">
      <alignment horizontal="left"/>
    </xf>
    <xf numFmtId="0" fontId="45" fillId="0" borderId="12" xfId="0" applyFont="1" applyBorder="1" applyAlignment="1">
      <alignment horizontal="left"/>
    </xf>
    <xf numFmtId="0" fontId="42" fillId="0" borderId="27" xfId="0" applyFont="1" applyBorder="1" applyAlignment="1">
      <alignment horizontal="left"/>
    </xf>
    <xf numFmtId="0" fontId="42" fillId="0" borderId="28" xfId="0" applyFont="1" applyBorder="1" applyAlignment="1">
      <alignment horizontal="left"/>
    </xf>
    <xf numFmtId="0" fontId="44" fillId="0" borderId="4" xfId="0" applyFont="1" applyBorder="1" applyAlignment="1">
      <alignment horizontal="left"/>
    </xf>
    <xf numFmtId="0" fontId="44" fillId="0" borderId="6" xfId="0" applyFont="1" applyBorder="1" applyAlignment="1">
      <alignment horizontal="left"/>
    </xf>
    <xf numFmtId="0" fontId="36" fillId="0" borderId="24" xfId="0" applyFont="1" applyBorder="1" applyAlignment="1">
      <alignment vertical="top"/>
    </xf>
    <xf numFmtId="0" fontId="36" fillId="0" borderId="25" xfId="0" applyFont="1" applyBorder="1" applyAlignment="1">
      <alignment vertical="top"/>
    </xf>
    <xf numFmtId="0" fontId="43" fillId="0" borderId="16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3" fillId="0" borderId="17" xfId="0" applyFont="1" applyBorder="1" applyAlignment="1">
      <alignment horizontal="center"/>
    </xf>
    <xf numFmtId="0" fontId="43" fillId="0" borderId="7" xfId="0" applyFont="1" applyBorder="1" applyAlignment="1">
      <alignment horizontal="center"/>
    </xf>
    <xf numFmtId="0" fontId="43" fillId="0" borderId="8" xfId="0" applyFont="1" applyBorder="1" applyAlignment="1">
      <alignment horizontal="center"/>
    </xf>
    <xf numFmtId="0" fontId="43" fillId="0" borderId="9" xfId="0" applyFont="1" applyBorder="1" applyAlignment="1">
      <alignment horizontal="center"/>
    </xf>
    <xf numFmtId="0" fontId="40" fillId="8" borderId="7" xfId="0" applyFont="1" applyFill="1" applyBorder="1" applyAlignment="1">
      <alignment horizontal="center" vertical="center"/>
    </xf>
    <xf numFmtId="0" fontId="40" fillId="8" borderId="8" xfId="0" applyFont="1" applyFill="1" applyBorder="1" applyAlignment="1">
      <alignment horizontal="center" vertical="center"/>
    </xf>
    <xf numFmtId="0" fontId="36" fillId="0" borderId="11" xfId="0" applyFont="1" applyBorder="1" applyAlignment="1">
      <alignment horizontal="left" vertical="center"/>
    </xf>
    <xf numFmtId="0" fontId="35" fillId="0" borderId="4" xfId="0" applyFont="1" applyBorder="1" applyAlignment="1">
      <alignment horizontal="center"/>
    </xf>
    <xf numFmtId="0" fontId="35" fillId="0" borderId="5" xfId="0" applyFont="1" applyBorder="1" applyAlignment="1">
      <alignment horizontal="center"/>
    </xf>
    <xf numFmtId="0" fontId="35" fillId="0" borderId="6" xfId="0" applyFont="1" applyBorder="1" applyAlignment="1">
      <alignment horizontal="center"/>
    </xf>
    <xf numFmtId="0" fontId="4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2" fillId="0" borderId="11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4" fillId="0" borderId="16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7" fillId="0" borderId="16" xfId="0" applyFont="1" applyBorder="1" applyAlignment="1">
      <alignment horizontal="center"/>
    </xf>
    <xf numFmtId="0" fontId="37" fillId="0" borderId="0" xfId="0" applyFont="1" applyAlignment="1">
      <alignment horizontal="center"/>
    </xf>
    <xf numFmtId="167" fontId="37" fillId="0" borderId="8" xfId="0" applyNumberFormat="1" applyFont="1" applyBorder="1" applyAlignment="1">
      <alignment horizontal="center"/>
    </xf>
    <xf numFmtId="167" fontId="37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0" fillId="3" borderId="0" xfId="0" applyFill="1"/>
    <xf numFmtId="0" fontId="2" fillId="10" borderId="0" xfId="0" applyFont="1" applyFill="1" applyAlignment="1">
      <alignment horizontal="left"/>
    </xf>
    <xf numFmtId="0" fontId="2" fillId="10" borderId="1" xfId="0" applyFont="1" applyFill="1" applyBorder="1"/>
    <xf numFmtId="165" fontId="2" fillId="10" borderId="2" xfId="0" applyNumberFormat="1" applyFont="1" applyFill="1" applyBorder="1"/>
    <xf numFmtId="44" fontId="2" fillId="10" borderId="2" xfId="2" applyFont="1" applyFill="1" applyBorder="1" applyAlignment="1"/>
    <xf numFmtId="0" fontId="2" fillId="10" borderId="2" xfId="0" applyFont="1" applyFill="1" applyBorder="1"/>
    <xf numFmtId="164" fontId="2" fillId="10" borderId="3" xfId="2" applyNumberFormat="1" applyFont="1" applyFill="1" applyBorder="1"/>
    <xf numFmtId="0" fontId="0" fillId="0" borderId="0" xfId="0" applyFill="1"/>
    <xf numFmtId="164" fontId="0" fillId="0" borderId="0" xfId="0" applyNumberFormat="1" applyFill="1"/>
    <xf numFmtId="0" fontId="3" fillId="0" borderId="0" xfId="0" applyFont="1" applyFill="1" applyAlignment="1">
      <alignment horizontal="right"/>
    </xf>
    <xf numFmtId="0" fontId="3" fillId="0" borderId="0" xfId="0" applyFont="1" applyFill="1" applyAlignment="1"/>
    <xf numFmtId="0" fontId="2" fillId="11" borderId="0" xfId="0" applyFont="1" applyFill="1"/>
    <xf numFmtId="0" fontId="2" fillId="11" borderId="0" xfId="0" applyFont="1" applyFill="1" applyAlignment="1">
      <alignment horizontal="left"/>
    </xf>
    <xf numFmtId="0" fontId="4" fillId="12" borderId="0" xfId="0" applyFont="1" applyFill="1"/>
    <xf numFmtId="0" fontId="7" fillId="12" borderId="0" xfId="0" applyFont="1" applyFill="1" applyAlignment="1">
      <alignment horizontal="center"/>
    </xf>
    <xf numFmtId="0" fontId="0" fillId="12" borderId="0" xfId="0" applyFill="1"/>
    <xf numFmtId="0" fontId="2" fillId="2" borderId="0" xfId="0" applyFont="1" applyFill="1"/>
    <xf numFmtId="0" fontId="5" fillId="2" borderId="0" xfId="0" applyFont="1" applyFill="1" applyAlignment="1">
      <alignment horizontal="center"/>
    </xf>
    <xf numFmtId="0" fontId="48" fillId="2" borderId="0" xfId="0" applyFont="1" applyFill="1" applyAlignment="1">
      <alignment horizontal="center" vertical="center"/>
    </xf>
    <xf numFmtId="16" fontId="0" fillId="0" borderId="0" xfId="0" applyNumberFormat="1" applyFill="1"/>
    <xf numFmtId="0" fontId="3" fillId="13" borderId="0" xfId="0" applyFont="1" applyFill="1" applyAlignment="1">
      <alignment horizontal="left"/>
    </xf>
    <xf numFmtId="0" fontId="3" fillId="13" borderId="0" xfId="0" applyFont="1" applyFill="1" applyAlignment="1">
      <alignment horizontal="center"/>
    </xf>
    <xf numFmtId="164" fontId="3" fillId="0" borderId="5" xfId="2" applyNumberFormat="1" applyFont="1" applyBorder="1"/>
    <xf numFmtId="0" fontId="2" fillId="2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45" xfId="0" applyFont="1" applyBorder="1" applyAlignment="1">
      <alignment horizontal="left"/>
    </xf>
    <xf numFmtId="37" fontId="3" fillId="0" borderId="45" xfId="2" applyNumberFormat="1" applyFont="1" applyBorder="1" applyAlignment="1">
      <alignment horizontal="center"/>
    </xf>
    <xf numFmtId="0" fontId="49" fillId="2" borderId="0" xfId="0" applyFont="1" applyFill="1" applyAlignment="1">
      <alignment horizontal="center"/>
    </xf>
    <xf numFmtId="0" fontId="3" fillId="0" borderId="45" xfId="0" applyFont="1" applyBorder="1" applyAlignment="1"/>
    <xf numFmtId="172" fontId="3" fillId="0" borderId="45" xfId="2" applyNumberFormat="1" applyFont="1" applyBorder="1" applyAlignment="1">
      <alignment horizontal="center"/>
    </xf>
    <xf numFmtId="168" fontId="3" fillId="0" borderId="45" xfId="3" applyNumberFormat="1" applyFont="1" applyFill="1" applyBorder="1" applyAlignment="1">
      <alignment horizontal="center"/>
    </xf>
    <xf numFmtId="172" fontId="3" fillId="0" borderId="0" xfId="0" applyNumberFormat="1" applyFont="1"/>
    <xf numFmtId="44" fontId="0" fillId="0" borderId="0" xfId="2" applyNumberFormat="1" applyFont="1"/>
    <xf numFmtId="44" fontId="3" fillId="0" borderId="5" xfId="2" applyNumberFormat="1" applyFont="1" applyBorder="1"/>
    <xf numFmtId="44" fontId="3" fillId="0" borderId="0" xfId="2" applyNumberFormat="1" applyFont="1" applyBorder="1"/>
    <xf numFmtId="44" fontId="2" fillId="10" borderId="3" xfId="2" applyNumberFormat="1" applyFont="1" applyFill="1" applyBorder="1"/>
    <xf numFmtId="44" fontId="0" fillId="0" borderId="0" xfId="2" applyNumberFormat="1" applyFont="1" applyFill="1"/>
    <xf numFmtId="44" fontId="3" fillId="0" borderId="5" xfId="0" applyNumberFormat="1" applyFont="1" applyFill="1" applyBorder="1"/>
    <xf numFmtId="44" fontId="0" fillId="0" borderId="0" xfId="0" applyNumberFormat="1" applyFill="1"/>
    <xf numFmtId="44" fontId="46" fillId="11" borderId="0" xfId="2" applyNumberFormat="1" applyFont="1" applyFill="1" applyBorder="1"/>
    <xf numFmtId="44" fontId="2" fillId="2" borderId="0" xfId="0" applyNumberFormat="1" applyFont="1" applyFill="1"/>
    <xf numFmtId="0" fontId="47" fillId="2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1" applyNumberFormat="1" applyFont="1" applyFill="1" applyAlignment="1">
      <alignment horizontal="center"/>
    </xf>
    <xf numFmtId="164" fontId="0" fillId="0" borderId="0" xfId="2" applyNumberFormat="1" applyFont="1" applyAlignment="1">
      <alignment horizontal="center"/>
    </xf>
    <xf numFmtId="165" fontId="3" fillId="0" borderId="0" xfId="0" applyNumberFormat="1" applyFont="1" applyAlignment="1"/>
    <xf numFmtId="0" fontId="3" fillId="0" borderId="0" xfId="0" applyFont="1" applyFill="1"/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4" fontId="50" fillId="0" borderId="13" xfId="2" applyNumberFormat="1" applyFont="1" applyFill="1" applyBorder="1" applyAlignment="1">
      <alignment horizontal="center"/>
    </xf>
    <xf numFmtId="164" fontId="50" fillId="0" borderId="14" xfId="2" applyNumberFormat="1" applyFont="1" applyFill="1" applyBorder="1" applyAlignment="1">
      <alignment horizontal="center"/>
    </xf>
    <xf numFmtId="164" fontId="50" fillId="0" borderId="15" xfId="2" applyNumberFormat="1" applyFont="1" applyFill="1" applyBorder="1" applyAlignment="1">
      <alignment horizontal="center"/>
    </xf>
    <xf numFmtId="164" fontId="3" fillId="0" borderId="0" xfId="2" applyNumberFormat="1" applyFont="1" applyFill="1" applyBorder="1"/>
    <xf numFmtId="164" fontId="3" fillId="0" borderId="8" xfId="2" applyNumberFormat="1" applyFont="1" applyFill="1" applyBorder="1"/>
    <xf numFmtId="164" fontId="0" fillId="0" borderId="8" xfId="2" applyNumberFormat="1" applyFont="1" applyFill="1" applyBorder="1"/>
    <xf numFmtId="164" fontId="0" fillId="0" borderId="8" xfId="2" applyNumberFormat="1" applyFont="1" applyBorder="1"/>
    <xf numFmtId="0" fontId="0" fillId="0" borderId="8" xfId="0" applyBorder="1"/>
    <xf numFmtId="0" fontId="0" fillId="0" borderId="0" xfId="0" applyFont="1"/>
    <xf numFmtId="0" fontId="7" fillId="0" borderId="4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0" fontId="0" fillId="0" borderId="5" xfId="0" applyFill="1" applyBorder="1"/>
    <xf numFmtId="44" fontId="0" fillId="0" borderId="0" xfId="2" applyFont="1" applyFill="1" applyBorder="1"/>
    <xf numFmtId="44" fontId="0" fillId="0" borderId="17" xfId="2" applyFont="1" applyFill="1" applyBorder="1"/>
    <xf numFmtId="0" fontId="0" fillId="0" borderId="16" xfId="0" applyBorder="1"/>
    <xf numFmtId="0" fontId="0" fillId="0" borderId="17" xfId="0" applyBorder="1"/>
    <xf numFmtId="0" fontId="3" fillId="0" borderId="8" xfId="0" applyFont="1" applyBorder="1"/>
    <xf numFmtId="164" fontId="0" fillId="0" borderId="4" xfId="2" applyNumberFormat="1" applyFont="1" applyFill="1" applyBorder="1"/>
    <xf numFmtId="164" fontId="0" fillId="0" borderId="6" xfId="2" applyNumberFormat="1" applyFont="1" applyFill="1" applyBorder="1"/>
    <xf numFmtId="164" fontId="0" fillId="0" borderId="16" xfId="2" applyNumberFormat="1" applyFont="1" applyFill="1" applyBorder="1"/>
    <xf numFmtId="164" fontId="0" fillId="0" borderId="17" xfId="2" applyNumberFormat="1" applyFont="1" applyFill="1" applyBorder="1"/>
    <xf numFmtId="164" fontId="1" fillId="0" borderId="16" xfId="2" applyNumberFormat="1" applyFont="1" applyFill="1" applyBorder="1"/>
    <xf numFmtId="0" fontId="0" fillId="0" borderId="0" xfId="0" applyFont="1" applyBorder="1"/>
    <xf numFmtId="174" fontId="1" fillId="0" borderId="17" xfId="2" applyNumberFormat="1" applyFont="1" applyFill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164" fontId="3" fillId="0" borderId="5" xfId="2" applyNumberFormat="1" applyFont="1" applyFill="1" applyBorder="1"/>
    <xf numFmtId="164" fontId="0" fillId="0" borderId="5" xfId="2" applyNumberFormat="1" applyFont="1" applyFill="1" applyBorder="1"/>
    <xf numFmtId="168" fontId="0" fillId="0" borderId="6" xfId="3" applyNumberFormat="1" applyFont="1" applyFill="1" applyBorder="1"/>
    <xf numFmtId="0" fontId="0" fillId="0" borderId="16" xfId="0" applyBorder="1" applyAlignment="1">
      <alignment horizontal="center"/>
    </xf>
    <xf numFmtId="164" fontId="0" fillId="0" borderId="0" xfId="2" applyNumberFormat="1" applyFont="1" applyFill="1" applyBorder="1"/>
    <xf numFmtId="168" fontId="0" fillId="0" borderId="17" xfId="3" applyNumberFormat="1" applyFont="1" applyBorder="1"/>
    <xf numFmtId="174" fontId="1" fillId="0" borderId="0" xfId="2" applyNumberFormat="1" applyFont="1" applyFill="1" applyBorder="1" applyAlignment="1">
      <alignment horizontal="center"/>
    </xf>
    <xf numFmtId="174" fontId="0" fillId="0" borderId="0" xfId="0" applyNumberFormat="1" applyFont="1" applyBorder="1" applyAlignment="1">
      <alignment horizontal="center"/>
    </xf>
    <xf numFmtId="168" fontId="1" fillId="0" borderId="17" xfId="3" applyNumberFormat="1" applyFont="1" applyBorder="1" applyAlignment="1">
      <alignment horizontal="center"/>
    </xf>
    <xf numFmtId="164" fontId="0" fillId="0" borderId="9" xfId="2" applyNumberFormat="1" applyFont="1" applyBorder="1"/>
    <xf numFmtId="0" fontId="3" fillId="0" borderId="8" xfId="0" applyFont="1" applyBorder="1" applyAlignment="1"/>
    <xf numFmtId="174" fontId="3" fillId="0" borderId="8" xfId="2" applyNumberFormat="1" applyFont="1" applyFill="1" applyBorder="1" applyAlignment="1">
      <alignment horizontal="center"/>
    </xf>
    <xf numFmtId="174" fontId="0" fillId="0" borderId="8" xfId="2" applyNumberFormat="1" applyFont="1" applyFill="1" applyBorder="1" applyAlignment="1">
      <alignment horizontal="center"/>
    </xf>
    <xf numFmtId="168" fontId="3" fillId="0" borderId="9" xfId="3" applyNumberFormat="1" applyFont="1" applyBorder="1" applyAlignment="1">
      <alignment horizontal="center"/>
    </xf>
    <xf numFmtId="164" fontId="0" fillId="0" borderId="0" xfId="2" applyNumberFormat="1" applyFont="1" applyFill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75" fontId="0" fillId="0" borderId="16" xfId="0" applyNumberFormat="1" applyFont="1" applyBorder="1" applyAlignment="1">
      <alignment horizontal="center"/>
    </xf>
    <xf numFmtId="164" fontId="0" fillId="0" borderId="7" xfId="2" applyNumberFormat="1" applyFont="1" applyBorder="1"/>
    <xf numFmtId="175" fontId="3" fillId="0" borderId="7" xfId="1" applyNumberFormat="1" applyFont="1" applyBorder="1" applyAlignment="1">
      <alignment horizontal="center"/>
    </xf>
    <xf numFmtId="0" fontId="0" fillId="0" borderId="4" xfId="0" applyFill="1" applyBorder="1"/>
    <xf numFmtId="44" fontId="0" fillId="0" borderId="5" xfId="2" applyFont="1" applyFill="1" applyBorder="1"/>
    <xf numFmtId="44" fontId="0" fillId="0" borderId="6" xfId="2" applyFont="1" applyFill="1" applyBorder="1"/>
    <xf numFmtId="0" fontId="51" fillId="0" borderId="0" xfId="0" applyFont="1" applyFill="1" applyBorder="1" applyAlignment="1">
      <alignment horizontal="center"/>
    </xf>
    <xf numFmtId="0" fontId="51" fillId="0" borderId="0" xfId="0" applyFont="1" applyFill="1" applyAlignment="1">
      <alignment horizontal="center"/>
    </xf>
    <xf numFmtId="0" fontId="52" fillId="0" borderId="0" xfId="0" applyFont="1" applyAlignment="1">
      <alignment horizontal="center"/>
    </xf>
    <xf numFmtId="164" fontId="53" fillId="10" borderId="0" xfId="2" applyNumberFormat="1" applyFont="1" applyFill="1" applyBorder="1" applyAlignment="1">
      <alignment horizontal="center"/>
    </xf>
    <xf numFmtId="164" fontId="52" fillId="0" borderId="0" xfId="2" applyNumberFormat="1" applyFont="1" applyAlignment="1">
      <alignment horizontal="center"/>
    </xf>
    <xf numFmtId="164" fontId="53" fillId="11" borderId="0" xfId="2" applyNumberFormat="1" applyFont="1" applyFill="1" applyBorder="1" applyAlignment="1">
      <alignment horizontal="center"/>
    </xf>
    <xf numFmtId="164" fontId="52" fillId="0" borderId="0" xfId="2" applyNumberFormat="1" applyFont="1" applyFill="1" applyAlignment="1">
      <alignment horizontal="center"/>
    </xf>
    <xf numFmtId="164" fontId="53" fillId="2" borderId="0" xfId="2" applyNumberFormat="1" applyFont="1" applyFill="1" applyBorder="1" applyAlignment="1">
      <alignment horizontal="center"/>
    </xf>
    <xf numFmtId="164" fontId="51" fillId="0" borderId="0" xfId="2" applyNumberFormat="1" applyFont="1" applyFill="1" applyBorder="1" applyAlignment="1">
      <alignment horizontal="center"/>
    </xf>
    <xf numFmtId="0" fontId="52" fillId="0" borderId="0" xfId="0" applyFont="1" applyFill="1" applyAlignment="1">
      <alignment horizontal="center"/>
    </xf>
    <xf numFmtId="164" fontId="51" fillId="0" borderId="4" xfId="2" applyNumberFormat="1" applyFont="1" applyFill="1" applyBorder="1" applyAlignment="1">
      <alignment horizontal="center"/>
    </xf>
    <xf numFmtId="0" fontId="52" fillId="0" borderId="5" xfId="0" applyFont="1" applyFill="1" applyBorder="1" applyAlignment="1">
      <alignment horizontal="center"/>
    </xf>
    <xf numFmtId="164" fontId="51" fillId="0" borderId="5" xfId="2" applyNumberFormat="1" applyFont="1" applyFill="1" applyBorder="1" applyAlignment="1">
      <alignment horizontal="center"/>
    </xf>
    <xf numFmtId="0" fontId="53" fillId="0" borderId="5" xfId="0" applyFont="1" applyFill="1" applyBorder="1" applyAlignment="1">
      <alignment horizontal="center"/>
    </xf>
    <xf numFmtId="164" fontId="51" fillId="0" borderId="6" xfId="2" applyNumberFormat="1" applyFont="1" applyFill="1" applyBorder="1" applyAlignment="1">
      <alignment horizontal="center"/>
    </xf>
    <xf numFmtId="0" fontId="51" fillId="0" borderId="8" xfId="0" applyFont="1" applyFill="1" applyBorder="1"/>
    <xf numFmtId="170" fontId="3" fillId="0" borderId="8" xfId="0" applyNumberFormat="1" applyFont="1" applyBorder="1" applyAlignment="1">
      <alignment horizontal="center"/>
    </xf>
    <xf numFmtId="170" fontId="3" fillId="0" borderId="9" xfId="0" applyNumberFormat="1" applyFont="1" applyBorder="1" applyAlignment="1">
      <alignment horizontal="center"/>
    </xf>
    <xf numFmtId="174" fontId="54" fillId="0" borderId="0" xfId="2" applyNumberFormat="1" applyFont="1" applyFill="1" applyBorder="1" applyAlignment="1">
      <alignment horizontal="center"/>
    </xf>
    <xf numFmtId="9" fontId="6" fillId="0" borderId="0" xfId="3" applyFont="1" applyAlignment="1">
      <alignment horizontal="center"/>
    </xf>
    <xf numFmtId="0" fontId="0" fillId="0" borderId="0" xfId="0" applyFont="1" applyAlignment="1">
      <alignment horizontal="center"/>
    </xf>
    <xf numFmtId="0" fontId="47" fillId="2" borderId="0" xfId="0" applyFont="1" applyFill="1" applyAlignment="1"/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3" fillId="0" borderId="42" xfId="0" applyFont="1" applyBorder="1"/>
    <xf numFmtId="37" fontId="0" fillId="0" borderId="0" xfId="0" applyNumberFormat="1" applyAlignment="1">
      <alignment horizontal="center"/>
    </xf>
    <xf numFmtId="37" fontId="3" fillId="0" borderId="0" xfId="0" applyNumberFormat="1" applyFont="1" applyAlignment="1">
      <alignment horizontal="center"/>
    </xf>
    <xf numFmtId="37" fontId="3" fillId="0" borderId="5" xfId="0" applyNumberFormat="1" applyFont="1" applyBorder="1" applyAlignment="1">
      <alignment horizontal="center"/>
    </xf>
    <xf numFmtId="37" fontId="3" fillId="0" borderId="0" xfId="0" applyNumberFormat="1" applyFont="1" applyFill="1" applyBorder="1" applyAlignment="1">
      <alignment horizontal="center"/>
    </xf>
    <xf numFmtId="37" fontId="0" fillId="0" borderId="0" xfId="0" applyNumberFormat="1"/>
    <xf numFmtId="164" fontId="9" fillId="0" borderId="46" xfId="0" applyNumberFormat="1" applyFont="1" applyFill="1" applyBorder="1"/>
    <xf numFmtId="164" fontId="21" fillId="0" borderId="47" xfId="2" applyNumberFormat="1" applyFont="1" applyFill="1" applyBorder="1"/>
    <xf numFmtId="164" fontId="21" fillId="0" borderId="46" xfId="2" applyNumberFormat="1" applyFont="1" applyFill="1" applyBorder="1"/>
    <xf numFmtId="164" fontId="21" fillId="0" borderId="48" xfId="2" applyNumberFormat="1" applyFont="1" applyFill="1" applyBorder="1"/>
    <xf numFmtId="164" fontId="21" fillId="0" borderId="42" xfId="2" applyNumberFormat="1" applyFont="1" applyFill="1" applyBorder="1"/>
    <xf numFmtId="0" fontId="13" fillId="0" borderId="42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44" fontId="3" fillId="0" borderId="0" xfId="0" applyNumberFormat="1" applyFont="1"/>
    <xf numFmtId="164" fontId="9" fillId="0" borderId="42" xfId="0" applyNumberFormat="1" applyFont="1" applyBorder="1" applyAlignment="1">
      <alignment horizontal="center"/>
    </xf>
    <xf numFmtId="0" fontId="30" fillId="2" borderId="0" xfId="0" applyFont="1" applyFill="1" applyAlignment="1">
      <alignment horizontal="center"/>
    </xf>
    <xf numFmtId="0" fontId="9" fillId="6" borderId="0" xfId="0" applyFont="1" applyFill="1" applyAlignment="1"/>
    <xf numFmtId="164" fontId="17" fillId="0" borderId="0" xfId="2" applyNumberFormat="1" applyFont="1" applyAlignment="1"/>
    <xf numFmtId="164" fontId="17" fillId="5" borderId="0" xfId="2" applyNumberFormat="1" applyFont="1" applyFill="1" applyAlignment="1"/>
    <xf numFmtId="164" fontId="10" fillId="0" borderId="0" xfId="2" applyNumberFormat="1" applyFont="1" applyAlignment="1"/>
    <xf numFmtId="164" fontId="11" fillId="6" borderId="0" xfId="2" applyNumberFormat="1" applyFont="1" applyFill="1" applyAlignment="1"/>
    <xf numFmtId="164" fontId="11" fillId="0" borderId="0" xfId="2" applyNumberFormat="1" applyFont="1" applyAlignment="1"/>
    <xf numFmtId="164" fontId="10" fillId="4" borderId="0" xfId="2" applyNumberFormat="1" applyFont="1" applyFill="1" applyAlignment="1"/>
    <xf numFmtId="164" fontId="10" fillId="7" borderId="12" xfId="2" applyNumberFormat="1" applyFont="1" applyFill="1" applyBorder="1" applyAlignment="1"/>
    <xf numFmtId="0" fontId="20" fillId="2" borderId="0" xfId="0" applyFont="1" applyFill="1" applyAlignment="1"/>
    <xf numFmtId="39" fontId="11" fillId="6" borderId="0" xfId="0" applyNumberFormat="1" applyFont="1" applyFill="1" applyAlignment="1"/>
    <xf numFmtId="164" fontId="17" fillId="0" borderId="0" xfId="2" applyNumberFormat="1" applyFont="1" applyFill="1" applyAlignment="1"/>
    <xf numFmtId="164" fontId="10" fillId="0" borderId="0" xfId="2" applyNumberFormat="1" applyFont="1" applyBorder="1" applyAlignment="1"/>
    <xf numFmtId="164" fontId="10" fillId="6" borderId="0" xfId="2" applyNumberFormat="1" applyFont="1" applyFill="1" applyBorder="1" applyAlignment="1"/>
    <xf numFmtId="164" fontId="10" fillId="0" borderId="0" xfId="2" applyNumberFormat="1" applyFont="1" applyFill="1" applyBorder="1" applyAlignment="1"/>
    <xf numFmtId="164" fontId="10" fillId="4" borderId="0" xfId="2" applyNumberFormat="1" applyFont="1" applyFill="1" applyBorder="1" applyAlignment="1"/>
    <xf numFmtId="164" fontId="11" fillId="6" borderId="0" xfId="2" applyNumberFormat="1" applyFont="1" applyFill="1" applyBorder="1" applyAlignment="1"/>
    <xf numFmtId="164" fontId="13" fillId="0" borderId="0" xfId="0" applyNumberFormat="1" applyFont="1" applyAlignment="1"/>
    <xf numFmtId="49" fontId="21" fillId="0" borderId="0" xfId="0" applyNumberFormat="1" applyFont="1" applyFill="1"/>
    <xf numFmtId="9" fontId="0" fillId="0" borderId="0" xfId="3" applyFont="1" applyAlignment="1">
      <alignment horizontal="center"/>
    </xf>
    <xf numFmtId="164" fontId="21" fillId="8" borderId="0" xfId="2" applyNumberFormat="1" applyFont="1" applyFill="1"/>
    <xf numFmtId="164" fontId="17" fillId="8" borderId="0" xfId="2" applyNumberFormat="1" applyFon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0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513D8B"/>
      <color rgb="FFCDC5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1558637</xdr:colOff>
      <xdr:row>4</xdr:row>
      <xdr:rowOff>73296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094683-CA6D-45E8-A97E-8A311E9D1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29430" cy="8418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409575</xdr:colOff>
      <xdr:row>2</xdr:row>
      <xdr:rowOff>161925</xdr:rowOff>
    </xdr:from>
    <xdr:to>
      <xdr:col>20</xdr:col>
      <xdr:colOff>204373</xdr:colOff>
      <xdr:row>27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03B9758-360E-4652-A867-6AB92028DAB8}"/>
            </a:ext>
          </a:extLst>
        </xdr:cNvPr>
        <xdr:cNvSpPr txBox="1"/>
      </xdr:nvSpPr>
      <xdr:spPr>
        <a:xfrm>
          <a:off x="12573000" y="590550"/>
          <a:ext cx="3338098" cy="4486275"/>
        </a:xfrm>
        <a:prstGeom prst="rect">
          <a:avLst/>
        </a:prstGeom>
        <a:solidFill>
          <a:srgbClr val="0070C0"/>
        </a:solidFill>
        <a:ln w="9525" cmpd="sng"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chemeClr val="bg1"/>
              </a:solidFill>
            </a:rPr>
            <a:t>Do we have money in an</a:t>
          </a:r>
          <a:r>
            <a:rPr lang="en-US" sz="1400" baseline="0">
              <a:solidFill>
                <a:schemeClr val="bg1"/>
              </a:solidFill>
            </a:rPr>
            <a:t> account bearing interest ?</a:t>
          </a:r>
          <a:br>
            <a:rPr lang="en-US" sz="1400" baseline="0">
              <a:solidFill>
                <a:schemeClr val="bg1"/>
              </a:solidFill>
            </a:rPr>
          </a:br>
          <a:br>
            <a:rPr lang="en-US" sz="1400" baseline="0">
              <a:solidFill>
                <a:schemeClr val="bg1"/>
              </a:solidFill>
            </a:rPr>
          </a:br>
          <a:r>
            <a:rPr lang="en-US" sz="1400" baseline="0">
              <a:solidFill>
                <a:schemeClr val="bg1"/>
              </a:solidFill>
            </a:rPr>
            <a:t>If so, do we know the rate?</a:t>
          </a:r>
          <a:endParaRPr lang="en-US" sz="1400" b="0" baseline="0">
            <a:solidFill>
              <a:schemeClr val="bg1"/>
            </a:solidFill>
          </a:endParaRPr>
        </a:p>
        <a:p>
          <a:endParaRPr lang="en-US" sz="1400" baseline="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104775</xdr:rowOff>
    </xdr:from>
    <xdr:to>
      <xdr:col>1</xdr:col>
      <xdr:colOff>514350</xdr:colOff>
      <xdr:row>10</xdr:row>
      <xdr:rowOff>101531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901D74D-C2D4-4CA3-B394-C57915B1E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9150"/>
          <a:ext cx="2847975" cy="1387406"/>
        </a:xfrm>
        <a:prstGeom prst="rect">
          <a:avLst/>
        </a:prstGeom>
      </xdr:spPr>
    </xdr:pic>
    <xdr:clientData/>
  </xdr:twoCellAnchor>
  <xdr:twoCellAnchor>
    <xdr:from>
      <xdr:col>5</xdr:col>
      <xdr:colOff>116372</xdr:colOff>
      <xdr:row>14</xdr:row>
      <xdr:rowOff>57149</xdr:rowOff>
    </xdr:from>
    <xdr:to>
      <xdr:col>9</xdr:col>
      <xdr:colOff>144532</xdr:colOff>
      <xdr:row>58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0F3989E-1E5B-A4A6-C265-1AE78F26BDE2}"/>
            </a:ext>
          </a:extLst>
        </xdr:cNvPr>
        <xdr:cNvSpPr txBox="1"/>
      </xdr:nvSpPr>
      <xdr:spPr>
        <a:xfrm>
          <a:off x="5850422" y="2847974"/>
          <a:ext cx="3228560" cy="7705726"/>
        </a:xfrm>
        <a:prstGeom prst="rect">
          <a:avLst/>
        </a:prstGeom>
        <a:solidFill>
          <a:srgbClr val="0070C0"/>
        </a:solidFill>
        <a:ln w="9525" cmpd="sng"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chemeClr val="bg1"/>
              </a:solidFill>
            </a:rPr>
            <a:t>Validate:</a:t>
          </a:r>
          <a:br>
            <a:rPr lang="en-US" sz="1400">
              <a:solidFill>
                <a:schemeClr val="bg1"/>
              </a:solidFill>
            </a:rPr>
          </a:br>
          <a:br>
            <a:rPr lang="en-US" sz="1400">
              <a:solidFill>
                <a:schemeClr val="bg1"/>
              </a:solidFill>
            </a:rPr>
          </a:br>
          <a:r>
            <a:rPr lang="en-US" sz="1400" b="1">
              <a:solidFill>
                <a:schemeClr val="bg1"/>
              </a:solidFill>
            </a:rPr>
            <a:t>Revenue:</a:t>
          </a:r>
        </a:p>
        <a:p>
          <a:r>
            <a:rPr lang="en-US" sz="1400">
              <a:solidFill>
                <a:schemeClr val="bg1"/>
              </a:solidFill>
            </a:rPr>
            <a:t>League</a:t>
          </a:r>
          <a:r>
            <a:rPr lang="en-US" sz="1400" baseline="0">
              <a:solidFill>
                <a:schemeClr val="bg1"/>
              </a:solidFill>
            </a:rPr>
            <a:t> Brackets</a:t>
          </a:r>
        </a:p>
        <a:p>
          <a:r>
            <a:rPr lang="en-US" sz="1400" baseline="0">
              <a:solidFill>
                <a:schemeClr val="bg1"/>
              </a:solidFill>
            </a:rPr>
            <a:t>Participants per bracket</a:t>
          </a:r>
        </a:p>
        <a:p>
          <a:r>
            <a:rPr lang="en-US" sz="1400" baseline="0">
              <a:solidFill>
                <a:schemeClr val="bg1"/>
              </a:solidFill>
            </a:rPr>
            <a:t>Registration Fees</a:t>
          </a:r>
        </a:p>
        <a:p>
          <a:endParaRPr lang="en-US" sz="1400" baseline="0">
            <a:solidFill>
              <a:schemeClr val="bg1"/>
            </a:solidFill>
          </a:endParaRPr>
        </a:p>
        <a:p>
          <a:r>
            <a:rPr lang="en-US" sz="1400" baseline="0">
              <a:solidFill>
                <a:schemeClr val="bg1"/>
              </a:solidFill>
            </a:rPr>
            <a:t>Any other Revenue Sources?</a:t>
          </a:r>
        </a:p>
        <a:p>
          <a:endParaRPr lang="en-US" sz="1400" baseline="0">
            <a:solidFill>
              <a:schemeClr val="bg1"/>
            </a:solidFill>
          </a:endParaRPr>
        </a:p>
        <a:p>
          <a:r>
            <a:rPr lang="en-US" sz="1400" b="1" baseline="0">
              <a:solidFill>
                <a:schemeClr val="bg1"/>
              </a:solidFill>
            </a:rPr>
            <a:t>Expenses:</a:t>
          </a:r>
        </a:p>
        <a:p>
          <a:r>
            <a:rPr lang="en-US" sz="1400" b="0" baseline="0">
              <a:solidFill>
                <a:schemeClr val="bg1"/>
              </a:solidFill>
            </a:rPr>
            <a:t>Jersey Costs</a:t>
          </a:r>
        </a:p>
        <a:p>
          <a:r>
            <a:rPr lang="en-US" sz="1400" b="0" baseline="0">
              <a:solidFill>
                <a:schemeClr val="bg1"/>
              </a:solidFill>
            </a:rPr>
            <a:t>Officiating Costs</a:t>
          </a:r>
        </a:p>
        <a:p>
          <a:r>
            <a:rPr lang="en-US" sz="1400" b="0" baseline="0">
              <a:solidFill>
                <a:schemeClr val="bg1"/>
              </a:solidFill>
            </a:rPr>
            <a:t>Sport Director Costs</a:t>
          </a:r>
        </a:p>
        <a:p>
          <a:r>
            <a:rPr lang="en-US" sz="1400" b="0" baseline="0">
              <a:solidFill>
                <a:schemeClr val="bg1"/>
              </a:solidFill>
            </a:rPr>
            <a:t>Equipment Costs</a:t>
          </a:r>
        </a:p>
        <a:p>
          <a:endParaRPr lang="en-US" sz="1400" b="0" baseline="0">
            <a:solidFill>
              <a:schemeClr val="bg1"/>
            </a:solidFill>
          </a:endParaRPr>
        </a:p>
        <a:p>
          <a:r>
            <a:rPr lang="en-US" sz="1400" b="0" baseline="0">
              <a:solidFill>
                <a:schemeClr val="bg1"/>
              </a:solidFill>
            </a:rPr>
            <a:t>Any Other Expenses Categories?</a:t>
          </a:r>
        </a:p>
        <a:p>
          <a:endParaRPr lang="en-US" sz="1400" baseline="0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104775</xdr:rowOff>
    </xdr:from>
    <xdr:to>
      <xdr:col>1</xdr:col>
      <xdr:colOff>514350</xdr:colOff>
      <xdr:row>10</xdr:row>
      <xdr:rowOff>111056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DFCF8C-3F3B-4543-9A00-651F65504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7725"/>
          <a:ext cx="2847975" cy="1387406"/>
        </a:xfrm>
        <a:prstGeom prst="rect">
          <a:avLst/>
        </a:prstGeom>
      </xdr:spPr>
    </xdr:pic>
    <xdr:clientData/>
  </xdr:twoCellAnchor>
  <xdr:twoCellAnchor>
    <xdr:from>
      <xdr:col>5</xdr:col>
      <xdr:colOff>142875</xdr:colOff>
      <xdr:row>14</xdr:row>
      <xdr:rowOff>76200</xdr:rowOff>
    </xdr:from>
    <xdr:to>
      <xdr:col>10</xdr:col>
      <xdr:colOff>425035</xdr:colOff>
      <xdr:row>59</xdr:row>
      <xdr:rowOff>57150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85EB7A4-AEC8-460B-A657-972CA220A336}"/>
            </a:ext>
          </a:extLst>
        </xdr:cNvPr>
        <xdr:cNvSpPr txBox="1"/>
      </xdr:nvSpPr>
      <xdr:spPr>
        <a:xfrm>
          <a:off x="5876925" y="2962275"/>
          <a:ext cx="3234910" cy="8505825"/>
        </a:xfrm>
        <a:prstGeom prst="rect">
          <a:avLst/>
        </a:prstGeom>
        <a:solidFill>
          <a:srgbClr val="0070C0"/>
        </a:solidFill>
        <a:ln w="9525" cmpd="sng"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chemeClr val="bg1"/>
              </a:solidFill>
            </a:rPr>
            <a:t>Validate:</a:t>
          </a:r>
          <a:br>
            <a:rPr lang="en-US" sz="1400">
              <a:solidFill>
                <a:schemeClr val="bg1"/>
              </a:solidFill>
            </a:rPr>
          </a:br>
          <a:br>
            <a:rPr lang="en-US" sz="1400">
              <a:solidFill>
                <a:schemeClr val="bg1"/>
              </a:solidFill>
            </a:rPr>
          </a:br>
          <a:r>
            <a:rPr lang="en-US" sz="1400" b="1">
              <a:solidFill>
                <a:schemeClr val="bg1"/>
              </a:solidFill>
            </a:rPr>
            <a:t>Revenue:</a:t>
          </a:r>
        </a:p>
        <a:p>
          <a:r>
            <a:rPr lang="en-US" sz="1400">
              <a:solidFill>
                <a:schemeClr val="bg1"/>
              </a:solidFill>
            </a:rPr>
            <a:t>League</a:t>
          </a:r>
          <a:r>
            <a:rPr lang="en-US" sz="1400" baseline="0">
              <a:solidFill>
                <a:schemeClr val="bg1"/>
              </a:solidFill>
            </a:rPr>
            <a:t> Brackets</a:t>
          </a:r>
        </a:p>
        <a:p>
          <a:r>
            <a:rPr lang="en-US" sz="1400" baseline="0">
              <a:solidFill>
                <a:schemeClr val="bg1"/>
              </a:solidFill>
            </a:rPr>
            <a:t>Participants per bracket</a:t>
          </a:r>
        </a:p>
        <a:p>
          <a:r>
            <a:rPr lang="en-US" sz="1400" baseline="0">
              <a:solidFill>
                <a:schemeClr val="bg1"/>
              </a:solidFill>
            </a:rPr>
            <a:t>Registration Fees</a:t>
          </a:r>
        </a:p>
        <a:p>
          <a:endParaRPr lang="en-US" sz="1400" baseline="0">
            <a:solidFill>
              <a:schemeClr val="bg1"/>
            </a:solidFill>
          </a:endParaRPr>
        </a:p>
        <a:p>
          <a:r>
            <a:rPr lang="en-US" sz="1400" baseline="0">
              <a:solidFill>
                <a:schemeClr val="bg1"/>
              </a:solidFill>
            </a:rPr>
            <a:t>Any other Revenue Sources?</a:t>
          </a:r>
        </a:p>
        <a:p>
          <a:endParaRPr lang="en-US" sz="1400" baseline="0">
            <a:solidFill>
              <a:schemeClr val="bg1"/>
            </a:solidFill>
          </a:endParaRPr>
        </a:p>
        <a:p>
          <a:r>
            <a:rPr lang="en-US" sz="1400" b="1" baseline="0">
              <a:solidFill>
                <a:schemeClr val="bg1"/>
              </a:solidFill>
            </a:rPr>
            <a:t>Expenses:</a:t>
          </a:r>
        </a:p>
        <a:p>
          <a:r>
            <a:rPr lang="en-US" sz="1400" b="0" baseline="0">
              <a:solidFill>
                <a:schemeClr val="bg1"/>
              </a:solidFill>
            </a:rPr>
            <a:t>Jersey Costs</a:t>
          </a:r>
        </a:p>
        <a:p>
          <a:r>
            <a:rPr lang="en-US" sz="1400" b="0" baseline="0">
              <a:solidFill>
                <a:schemeClr val="bg1"/>
              </a:solidFill>
            </a:rPr>
            <a:t>Officiating Costs</a:t>
          </a:r>
        </a:p>
        <a:p>
          <a:r>
            <a:rPr lang="en-US" sz="1400" b="0" baseline="0">
              <a:solidFill>
                <a:schemeClr val="bg1"/>
              </a:solidFill>
            </a:rPr>
            <a:t>Sport Director Costs</a:t>
          </a:r>
        </a:p>
        <a:p>
          <a:r>
            <a:rPr lang="en-US" sz="1400" b="0" baseline="0">
              <a:solidFill>
                <a:schemeClr val="bg1"/>
              </a:solidFill>
            </a:rPr>
            <a:t>Are Assistants / Others needed?</a:t>
          </a:r>
        </a:p>
        <a:p>
          <a:r>
            <a:rPr lang="en-US" sz="1400" b="0" baseline="0">
              <a:solidFill>
                <a:schemeClr val="bg1"/>
              </a:solidFill>
            </a:rPr>
            <a:t>Equipment Costs</a:t>
          </a:r>
        </a:p>
        <a:p>
          <a:r>
            <a:rPr lang="en-US" sz="1400" b="0" baseline="0">
              <a:solidFill>
                <a:schemeClr val="bg1"/>
              </a:solidFill>
            </a:rPr>
            <a:t>What is Coach Credit 12?</a:t>
          </a:r>
        </a:p>
        <a:p>
          <a:endParaRPr lang="en-US" sz="1400" b="0" baseline="0">
            <a:solidFill>
              <a:schemeClr val="bg1"/>
            </a:solidFill>
          </a:endParaRPr>
        </a:p>
        <a:p>
          <a:r>
            <a:rPr lang="en-US" sz="1400" b="0" baseline="0">
              <a:solidFill>
                <a:schemeClr val="bg1"/>
              </a:solidFill>
            </a:rPr>
            <a:t>Any Other Expenses Categories?</a:t>
          </a:r>
        </a:p>
        <a:p>
          <a:endParaRPr lang="en-US" sz="1400" baseline="0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104775</xdr:rowOff>
    </xdr:from>
    <xdr:to>
      <xdr:col>1</xdr:col>
      <xdr:colOff>510687</xdr:colOff>
      <xdr:row>10</xdr:row>
      <xdr:rowOff>107393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2EAAE4-A059-4E83-8616-078B72845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7725"/>
          <a:ext cx="2847975" cy="1387406"/>
        </a:xfrm>
        <a:prstGeom prst="rect">
          <a:avLst/>
        </a:prstGeom>
      </xdr:spPr>
    </xdr:pic>
    <xdr:clientData/>
  </xdr:twoCellAnchor>
  <xdr:twoCellAnchor>
    <xdr:from>
      <xdr:col>5</xdr:col>
      <xdr:colOff>268772</xdr:colOff>
      <xdr:row>11</xdr:row>
      <xdr:rowOff>180974</xdr:rowOff>
    </xdr:from>
    <xdr:to>
      <xdr:col>10</xdr:col>
      <xdr:colOff>419100</xdr:colOff>
      <xdr:row>56</xdr:row>
      <xdr:rowOff>171450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1F18559-7891-4854-BB88-40069921597F}"/>
            </a:ext>
          </a:extLst>
        </xdr:cNvPr>
        <xdr:cNvSpPr txBox="1"/>
      </xdr:nvSpPr>
      <xdr:spPr>
        <a:xfrm>
          <a:off x="6088547" y="2495549"/>
          <a:ext cx="3103078" cy="8515351"/>
        </a:xfrm>
        <a:prstGeom prst="rect">
          <a:avLst/>
        </a:prstGeom>
        <a:solidFill>
          <a:srgbClr val="0070C0"/>
        </a:solidFill>
        <a:ln w="9525" cmpd="sng"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chemeClr val="bg1"/>
              </a:solidFill>
            </a:rPr>
            <a:t>Validate:</a:t>
          </a:r>
          <a:br>
            <a:rPr lang="en-US" sz="1400">
              <a:solidFill>
                <a:schemeClr val="bg1"/>
              </a:solidFill>
            </a:rPr>
          </a:br>
          <a:br>
            <a:rPr lang="en-US" sz="1400">
              <a:solidFill>
                <a:schemeClr val="bg1"/>
              </a:solidFill>
            </a:rPr>
          </a:br>
          <a:r>
            <a:rPr lang="en-US" sz="1400" b="1">
              <a:solidFill>
                <a:schemeClr val="bg1"/>
              </a:solidFill>
            </a:rPr>
            <a:t>Revenue:</a:t>
          </a:r>
        </a:p>
        <a:p>
          <a:r>
            <a:rPr lang="en-US" sz="1400">
              <a:solidFill>
                <a:schemeClr val="bg1"/>
              </a:solidFill>
            </a:rPr>
            <a:t>League</a:t>
          </a:r>
          <a:r>
            <a:rPr lang="en-US" sz="1400" baseline="0">
              <a:solidFill>
                <a:schemeClr val="bg1"/>
              </a:solidFill>
            </a:rPr>
            <a:t> Brackets</a:t>
          </a:r>
        </a:p>
        <a:p>
          <a:r>
            <a:rPr lang="en-US" sz="1400" baseline="0">
              <a:solidFill>
                <a:schemeClr val="bg1"/>
              </a:solidFill>
            </a:rPr>
            <a:t>Participants per bracket</a:t>
          </a:r>
        </a:p>
        <a:p>
          <a:r>
            <a:rPr lang="en-US" sz="1400" baseline="0">
              <a:solidFill>
                <a:schemeClr val="bg1"/>
              </a:solidFill>
            </a:rPr>
            <a:t>Registration Fees</a:t>
          </a:r>
        </a:p>
        <a:p>
          <a:endParaRPr lang="en-US" sz="1400" baseline="0">
            <a:solidFill>
              <a:schemeClr val="bg1"/>
            </a:solidFill>
          </a:endParaRPr>
        </a:p>
        <a:p>
          <a:r>
            <a:rPr lang="en-US" sz="1400" baseline="0">
              <a:solidFill>
                <a:schemeClr val="bg1"/>
              </a:solidFill>
            </a:rPr>
            <a:t>Any other Revenue Sources?</a:t>
          </a:r>
        </a:p>
        <a:p>
          <a:endParaRPr lang="en-US" sz="1400" baseline="0">
            <a:solidFill>
              <a:schemeClr val="bg1"/>
            </a:solidFill>
          </a:endParaRPr>
        </a:p>
        <a:p>
          <a:r>
            <a:rPr lang="en-US" sz="1400" b="1" baseline="0">
              <a:solidFill>
                <a:schemeClr val="bg1"/>
              </a:solidFill>
            </a:rPr>
            <a:t>Expenses:</a:t>
          </a:r>
        </a:p>
        <a:p>
          <a:r>
            <a:rPr lang="en-US" sz="1400" b="0" baseline="0">
              <a:solidFill>
                <a:schemeClr val="bg1"/>
              </a:solidFill>
            </a:rPr>
            <a:t>Jersey &amp; Hat Costs</a:t>
          </a:r>
        </a:p>
        <a:p>
          <a:r>
            <a:rPr lang="en-US" sz="1400" b="0" baseline="0">
              <a:solidFill>
                <a:schemeClr val="bg1"/>
              </a:solidFill>
            </a:rPr>
            <a:t>Officiating Costs</a:t>
          </a:r>
        </a:p>
        <a:p>
          <a:r>
            <a:rPr lang="en-US" sz="1400" b="0" baseline="0">
              <a:solidFill>
                <a:schemeClr val="bg1"/>
              </a:solidFill>
            </a:rPr>
            <a:t>Sport Director Costs</a:t>
          </a:r>
        </a:p>
        <a:p>
          <a:r>
            <a:rPr lang="en-US" sz="1400" b="0" baseline="0">
              <a:solidFill>
                <a:schemeClr val="bg1"/>
              </a:solidFill>
            </a:rPr>
            <a:t>Equipment Costs</a:t>
          </a:r>
        </a:p>
        <a:p>
          <a:endParaRPr lang="en-US" sz="1400" b="0" baseline="0">
            <a:solidFill>
              <a:schemeClr val="bg1"/>
            </a:solidFill>
          </a:endParaRPr>
        </a:p>
        <a:p>
          <a:r>
            <a:rPr lang="en-US" sz="1400" b="0" baseline="0">
              <a:solidFill>
                <a:schemeClr val="bg1"/>
              </a:solidFill>
            </a:rPr>
            <a:t>Any Other Expenses Categories?</a:t>
          </a:r>
        </a:p>
        <a:p>
          <a:endParaRPr lang="en-US" sz="1400" baseline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104775</xdr:rowOff>
    </xdr:from>
    <xdr:to>
      <xdr:col>1</xdr:col>
      <xdr:colOff>510687</xdr:colOff>
      <xdr:row>10</xdr:row>
      <xdr:rowOff>105194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D4A976D-8ED1-423F-9AD0-FA32F44C7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7725"/>
          <a:ext cx="2847975" cy="13778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104775</xdr:rowOff>
    </xdr:from>
    <xdr:to>
      <xdr:col>1</xdr:col>
      <xdr:colOff>510687</xdr:colOff>
      <xdr:row>10</xdr:row>
      <xdr:rowOff>97868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2DF585-FA76-414F-980D-E0C6E3F8A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7725"/>
          <a:ext cx="2847975" cy="1377881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12</xdr:row>
      <xdr:rowOff>28575</xdr:rowOff>
    </xdr:from>
    <xdr:to>
      <xdr:col>10</xdr:col>
      <xdr:colOff>396460</xdr:colOff>
      <xdr:row>60</xdr:row>
      <xdr:rowOff>9525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CB96D5D-6A5F-43F3-8D9A-669123085D9A}"/>
            </a:ext>
          </a:extLst>
        </xdr:cNvPr>
        <xdr:cNvSpPr txBox="1"/>
      </xdr:nvSpPr>
      <xdr:spPr>
        <a:xfrm>
          <a:off x="5848350" y="2533650"/>
          <a:ext cx="3234910" cy="8505825"/>
        </a:xfrm>
        <a:prstGeom prst="rect">
          <a:avLst/>
        </a:prstGeom>
        <a:solidFill>
          <a:srgbClr val="0070C0"/>
        </a:solidFill>
        <a:ln w="9525" cmpd="sng"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chemeClr val="bg1"/>
              </a:solidFill>
            </a:rPr>
            <a:t>Validate:</a:t>
          </a:r>
          <a:br>
            <a:rPr lang="en-US" sz="1400">
              <a:solidFill>
                <a:schemeClr val="bg1"/>
              </a:solidFill>
            </a:rPr>
          </a:br>
          <a:br>
            <a:rPr lang="en-US" sz="1400">
              <a:solidFill>
                <a:schemeClr val="bg1"/>
              </a:solidFill>
            </a:rPr>
          </a:br>
          <a:r>
            <a:rPr lang="en-US" sz="1400" b="1">
              <a:solidFill>
                <a:schemeClr val="bg1"/>
              </a:solidFill>
            </a:rPr>
            <a:t>Revenue:</a:t>
          </a:r>
        </a:p>
        <a:p>
          <a:r>
            <a:rPr lang="en-US" sz="1400">
              <a:solidFill>
                <a:schemeClr val="bg1"/>
              </a:solidFill>
            </a:rPr>
            <a:t>League</a:t>
          </a:r>
          <a:r>
            <a:rPr lang="en-US" sz="1400" baseline="0">
              <a:solidFill>
                <a:schemeClr val="bg1"/>
              </a:solidFill>
            </a:rPr>
            <a:t> Brackets</a:t>
          </a:r>
        </a:p>
        <a:p>
          <a:r>
            <a:rPr lang="en-US" sz="1400" baseline="0">
              <a:solidFill>
                <a:schemeClr val="bg1"/>
              </a:solidFill>
            </a:rPr>
            <a:t>Participants per bracket</a:t>
          </a:r>
        </a:p>
        <a:p>
          <a:r>
            <a:rPr lang="en-US" sz="1400" baseline="0">
              <a:solidFill>
                <a:schemeClr val="bg1"/>
              </a:solidFill>
            </a:rPr>
            <a:t>Registration Fees</a:t>
          </a:r>
        </a:p>
        <a:p>
          <a:endParaRPr lang="en-US" sz="1400" baseline="0">
            <a:solidFill>
              <a:schemeClr val="bg1"/>
            </a:solidFill>
          </a:endParaRPr>
        </a:p>
        <a:p>
          <a:r>
            <a:rPr lang="en-US" sz="1400" baseline="0">
              <a:solidFill>
                <a:schemeClr val="bg1"/>
              </a:solidFill>
            </a:rPr>
            <a:t>Any other Revenue Sources?</a:t>
          </a:r>
        </a:p>
        <a:p>
          <a:endParaRPr lang="en-US" sz="1400" baseline="0">
            <a:solidFill>
              <a:schemeClr val="bg1"/>
            </a:solidFill>
          </a:endParaRPr>
        </a:p>
        <a:p>
          <a:r>
            <a:rPr lang="en-US" sz="1400" b="1" baseline="0">
              <a:solidFill>
                <a:schemeClr val="bg1"/>
              </a:solidFill>
            </a:rPr>
            <a:t>Expenses:</a:t>
          </a:r>
        </a:p>
        <a:p>
          <a:r>
            <a:rPr lang="en-US" sz="1400" b="0" baseline="0">
              <a:solidFill>
                <a:schemeClr val="bg1"/>
              </a:solidFill>
            </a:rPr>
            <a:t>Jersey Costs</a:t>
          </a:r>
        </a:p>
        <a:p>
          <a:r>
            <a:rPr lang="en-US" sz="1400" b="0" baseline="0">
              <a:solidFill>
                <a:schemeClr val="bg1"/>
              </a:solidFill>
            </a:rPr>
            <a:t>Officiating Costs</a:t>
          </a:r>
        </a:p>
        <a:p>
          <a:r>
            <a:rPr lang="en-US" sz="1400" b="0" baseline="0">
              <a:solidFill>
                <a:schemeClr val="bg1"/>
              </a:solidFill>
            </a:rPr>
            <a:t>Sport Director Costs</a:t>
          </a:r>
        </a:p>
        <a:p>
          <a:r>
            <a:rPr lang="en-US" sz="1400" b="0" baseline="0">
              <a:solidFill>
                <a:schemeClr val="bg1"/>
              </a:solidFill>
            </a:rPr>
            <a:t>Are Assistants / Others needed?</a:t>
          </a:r>
        </a:p>
        <a:p>
          <a:r>
            <a:rPr lang="en-US" sz="1400" b="0" baseline="0">
              <a:solidFill>
                <a:schemeClr val="bg1"/>
              </a:solidFill>
            </a:rPr>
            <a:t>Equipment Costs</a:t>
          </a:r>
        </a:p>
        <a:p>
          <a:r>
            <a:rPr lang="en-US" sz="1400" b="0" baseline="0">
              <a:solidFill>
                <a:schemeClr val="bg1"/>
              </a:solidFill>
            </a:rPr>
            <a:t>What is Coach Credit 12?</a:t>
          </a:r>
        </a:p>
        <a:p>
          <a:endParaRPr lang="en-US" sz="1400" b="0" baseline="0">
            <a:solidFill>
              <a:schemeClr val="bg1"/>
            </a:solidFill>
          </a:endParaRPr>
        </a:p>
        <a:p>
          <a:r>
            <a:rPr lang="en-US" sz="1400" b="0" baseline="0">
              <a:solidFill>
                <a:schemeClr val="bg1"/>
              </a:solidFill>
            </a:rPr>
            <a:t>Any Other Expenses Categories?</a:t>
          </a:r>
        </a:p>
        <a:p>
          <a:endParaRPr lang="en-US" sz="1400" baseline="0">
            <a:solidFill>
              <a:schemeClr val="bg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104775</xdr:rowOff>
    </xdr:from>
    <xdr:to>
      <xdr:col>1</xdr:col>
      <xdr:colOff>512279</xdr:colOff>
      <xdr:row>10</xdr:row>
      <xdr:rowOff>149156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76ECBD-DDA9-4803-B07E-ADF606812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7725"/>
          <a:ext cx="2847975" cy="1377881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12</xdr:row>
      <xdr:rowOff>28575</xdr:rowOff>
    </xdr:from>
    <xdr:to>
      <xdr:col>10</xdr:col>
      <xdr:colOff>396460</xdr:colOff>
      <xdr:row>58</xdr:row>
      <xdr:rowOff>9525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7D27F6C-19EB-4FED-A146-BF08AA40347F}"/>
            </a:ext>
          </a:extLst>
        </xdr:cNvPr>
        <xdr:cNvSpPr txBox="1"/>
      </xdr:nvSpPr>
      <xdr:spPr>
        <a:xfrm>
          <a:off x="5848350" y="2533650"/>
          <a:ext cx="3234910" cy="8505825"/>
        </a:xfrm>
        <a:prstGeom prst="rect">
          <a:avLst/>
        </a:prstGeom>
        <a:solidFill>
          <a:srgbClr val="0070C0"/>
        </a:solidFill>
        <a:ln w="9525" cmpd="sng"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chemeClr val="bg1"/>
              </a:solidFill>
            </a:rPr>
            <a:t>Validate:</a:t>
          </a:r>
          <a:br>
            <a:rPr lang="en-US" sz="1400">
              <a:solidFill>
                <a:schemeClr val="bg1"/>
              </a:solidFill>
            </a:rPr>
          </a:br>
          <a:br>
            <a:rPr lang="en-US" sz="1400">
              <a:solidFill>
                <a:schemeClr val="bg1"/>
              </a:solidFill>
            </a:rPr>
          </a:br>
          <a:r>
            <a:rPr lang="en-US" sz="1400" b="1">
              <a:solidFill>
                <a:schemeClr val="bg1"/>
              </a:solidFill>
            </a:rPr>
            <a:t>Revenue:</a:t>
          </a:r>
        </a:p>
        <a:p>
          <a:r>
            <a:rPr lang="en-US" sz="1400" baseline="0">
              <a:solidFill>
                <a:schemeClr val="bg1"/>
              </a:solidFill>
            </a:rPr>
            <a:t>Registration Fees</a:t>
          </a:r>
        </a:p>
        <a:p>
          <a:endParaRPr lang="en-US" sz="1400" baseline="0">
            <a:solidFill>
              <a:schemeClr val="bg1"/>
            </a:solidFill>
          </a:endParaRPr>
        </a:p>
        <a:p>
          <a:r>
            <a:rPr lang="en-US" sz="1400" baseline="0">
              <a:solidFill>
                <a:schemeClr val="bg1"/>
              </a:solidFill>
            </a:rPr>
            <a:t>Any other Revenue Sources?</a:t>
          </a:r>
        </a:p>
        <a:p>
          <a:endParaRPr lang="en-US" sz="1400" baseline="0">
            <a:solidFill>
              <a:schemeClr val="bg1"/>
            </a:solidFill>
          </a:endParaRPr>
        </a:p>
        <a:p>
          <a:r>
            <a:rPr lang="en-US" sz="1400" b="1" baseline="0">
              <a:solidFill>
                <a:schemeClr val="bg1"/>
              </a:solidFill>
            </a:rPr>
            <a:t>Expenses:</a:t>
          </a:r>
        </a:p>
        <a:p>
          <a:r>
            <a:rPr lang="en-US" sz="1400" b="0" baseline="0">
              <a:solidFill>
                <a:schemeClr val="bg1"/>
              </a:solidFill>
            </a:rPr>
            <a:t>Sport Director Costs</a:t>
          </a:r>
        </a:p>
        <a:p>
          <a:r>
            <a:rPr lang="en-US" sz="1400" b="0" baseline="0">
              <a:solidFill>
                <a:schemeClr val="bg1"/>
              </a:solidFill>
            </a:rPr>
            <a:t>Are Assistants / Others needed?</a:t>
          </a:r>
        </a:p>
        <a:p>
          <a:r>
            <a:rPr lang="en-US" sz="1400" b="0" baseline="0">
              <a:solidFill>
                <a:schemeClr val="bg1"/>
              </a:solidFill>
            </a:rPr>
            <a:t>Misc. Expenses? </a:t>
          </a:r>
        </a:p>
        <a:p>
          <a:endParaRPr lang="en-US" sz="1400" b="0" baseline="0">
            <a:solidFill>
              <a:schemeClr val="bg1"/>
            </a:solidFill>
          </a:endParaRPr>
        </a:p>
        <a:p>
          <a:r>
            <a:rPr lang="en-US" sz="1400" b="0" baseline="0">
              <a:solidFill>
                <a:schemeClr val="bg1"/>
              </a:solidFill>
            </a:rPr>
            <a:t>Any Other Expenses Categories?</a:t>
          </a:r>
        </a:p>
        <a:p>
          <a:endParaRPr lang="en-US" sz="1400" baseline="0">
            <a:solidFill>
              <a:schemeClr val="bg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104775</xdr:rowOff>
    </xdr:from>
    <xdr:to>
      <xdr:col>1</xdr:col>
      <xdr:colOff>514350</xdr:colOff>
      <xdr:row>10</xdr:row>
      <xdr:rowOff>101531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405A04-2264-492B-AB11-801F98992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7725"/>
          <a:ext cx="2847975" cy="1377881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12</xdr:row>
      <xdr:rowOff>28575</xdr:rowOff>
    </xdr:from>
    <xdr:to>
      <xdr:col>10</xdr:col>
      <xdr:colOff>396460</xdr:colOff>
      <xdr:row>57</xdr:row>
      <xdr:rowOff>9525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F54D7B4-57B6-4866-8C1F-3DB80A707AC7}"/>
            </a:ext>
          </a:extLst>
        </xdr:cNvPr>
        <xdr:cNvSpPr txBox="1"/>
      </xdr:nvSpPr>
      <xdr:spPr>
        <a:xfrm>
          <a:off x="5848350" y="2533650"/>
          <a:ext cx="3234910" cy="8505825"/>
        </a:xfrm>
        <a:prstGeom prst="rect">
          <a:avLst/>
        </a:prstGeom>
        <a:solidFill>
          <a:srgbClr val="0070C0"/>
        </a:solidFill>
        <a:ln w="9525" cmpd="sng"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chemeClr val="bg1"/>
              </a:solidFill>
            </a:rPr>
            <a:t>Validate:</a:t>
          </a:r>
          <a:br>
            <a:rPr lang="en-US" sz="1400">
              <a:solidFill>
                <a:schemeClr val="bg1"/>
              </a:solidFill>
            </a:rPr>
          </a:br>
          <a:br>
            <a:rPr lang="en-US" sz="1400">
              <a:solidFill>
                <a:schemeClr val="bg1"/>
              </a:solidFill>
            </a:rPr>
          </a:br>
          <a:r>
            <a:rPr lang="en-US" sz="1400" b="1">
              <a:solidFill>
                <a:schemeClr val="bg1"/>
              </a:solidFill>
            </a:rPr>
            <a:t>Revenue:</a:t>
          </a:r>
        </a:p>
        <a:p>
          <a:r>
            <a:rPr lang="en-US" sz="1400">
              <a:solidFill>
                <a:schemeClr val="bg1"/>
              </a:solidFill>
            </a:rPr>
            <a:t>League</a:t>
          </a:r>
          <a:r>
            <a:rPr lang="en-US" sz="1400" baseline="0">
              <a:solidFill>
                <a:schemeClr val="bg1"/>
              </a:solidFill>
            </a:rPr>
            <a:t> Brackets</a:t>
          </a:r>
        </a:p>
        <a:p>
          <a:r>
            <a:rPr lang="en-US" sz="1400" baseline="0">
              <a:solidFill>
                <a:schemeClr val="bg1"/>
              </a:solidFill>
            </a:rPr>
            <a:t>Participants per bracket</a:t>
          </a:r>
        </a:p>
        <a:p>
          <a:r>
            <a:rPr lang="en-US" sz="1400" baseline="0">
              <a:solidFill>
                <a:schemeClr val="bg1"/>
              </a:solidFill>
            </a:rPr>
            <a:t>Registration Fees</a:t>
          </a:r>
        </a:p>
        <a:p>
          <a:endParaRPr lang="en-US" sz="1400" baseline="0">
            <a:solidFill>
              <a:schemeClr val="bg1"/>
            </a:solidFill>
          </a:endParaRPr>
        </a:p>
        <a:p>
          <a:r>
            <a:rPr lang="en-US" sz="1400" baseline="0">
              <a:solidFill>
                <a:schemeClr val="bg1"/>
              </a:solidFill>
            </a:rPr>
            <a:t>Any other Revenue Sources?</a:t>
          </a:r>
        </a:p>
        <a:p>
          <a:endParaRPr lang="en-US" sz="1400" baseline="0">
            <a:solidFill>
              <a:schemeClr val="bg1"/>
            </a:solidFill>
          </a:endParaRPr>
        </a:p>
        <a:p>
          <a:r>
            <a:rPr lang="en-US" sz="1400" b="1" baseline="0">
              <a:solidFill>
                <a:schemeClr val="bg1"/>
              </a:solidFill>
            </a:rPr>
            <a:t>Expenses:</a:t>
          </a:r>
        </a:p>
        <a:p>
          <a:r>
            <a:rPr lang="en-US" sz="1400" b="0" baseline="0">
              <a:solidFill>
                <a:schemeClr val="bg1"/>
              </a:solidFill>
            </a:rPr>
            <a:t>Jersey / Hat / Pants Costs</a:t>
          </a:r>
        </a:p>
        <a:p>
          <a:r>
            <a:rPr lang="en-US" sz="1400" b="0" baseline="0">
              <a:solidFill>
                <a:schemeClr val="bg1"/>
              </a:solidFill>
            </a:rPr>
            <a:t>Officiating Costs</a:t>
          </a:r>
        </a:p>
        <a:p>
          <a:r>
            <a:rPr lang="en-US" sz="1400" b="0" baseline="0">
              <a:solidFill>
                <a:schemeClr val="bg1"/>
              </a:solidFill>
            </a:rPr>
            <a:t>Sport Director Costs</a:t>
          </a:r>
        </a:p>
        <a:p>
          <a:r>
            <a:rPr lang="en-US" sz="1400" b="0" baseline="0">
              <a:solidFill>
                <a:schemeClr val="bg1"/>
              </a:solidFill>
            </a:rPr>
            <a:t>Equipment Costs</a:t>
          </a:r>
        </a:p>
        <a:p>
          <a:endParaRPr lang="en-US" sz="1400" b="0" baseline="0">
            <a:solidFill>
              <a:schemeClr val="bg1"/>
            </a:solidFill>
          </a:endParaRPr>
        </a:p>
        <a:p>
          <a:r>
            <a:rPr lang="en-US" sz="1400" b="0" baseline="0">
              <a:solidFill>
                <a:schemeClr val="bg1"/>
              </a:solidFill>
            </a:rPr>
            <a:t>Any Other Expenses Categories?</a:t>
          </a:r>
        </a:p>
        <a:p>
          <a:endParaRPr lang="en-US" sz="1400" baseline="0">
            <a:solidFill>
              <a:schemeClr val="bg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104775</xdr:rowOff>
    </xdr:from>
    <xdr:to>
      <xdr:col>1</xdr:col>
      <xdr:colOff>514350</xdr:colOff>
      <xdr:row>10</xdr:row>
      <xdr:rowOff>101531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08EAB24-2F05-40F1-9AC1-71BEEF253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7725"/>
          <a:ext cx="2847975" cy="1377881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12</xdr:row>
      <xdr:rowOff>28575</xdr:rowOff>
    </xdr:from>
    <xdr:to>
      <xdr:col>11</xdr:col>
      <xdr:colOff>304800</xdr:colOff>
      <xdr:row>58</xdr:row>
      <xdr:rowOff>9525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864AAD2-E948-4944-8AFD-AB5B54FA88AE}"/>
            </a:ext>
          </a:extLst>
        </xdr:cNvPr>
        <xdr:cNvSpPr txBox="1"/>
      </xdr:nvSpPr>
      <xdr:spPr>
        <a:xfrm>
          <a:off x="5848350" y="2533650"/>
          <a:ext cx="3733800" cy="8505825"/>
        </a:xfrm>
        <a:prstGeom prst="rect">
          <a:avLst/>
        </a:prstGeom>
        <a:solidFill>
          <a:srgbClr val="0070C0"/>
        </a:solidFill>
        <a:ln w="9525" cmpd="sng"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chemeClr val="bg1"/>
              </a:solidFill>
            </a:rPr>
            <a:t>Validate:</a:t>
          </a:r>
          <a:br>
            <a:rPr lang="en-US" sz="1400">
              <a:solidFill>
                <a:schemeClr val="bg1"/>
              </a:solidFill>
            </a:rPr>
          </a:br>
          <a:br>
            <a:rPr lang="en-US" sz="1400">
              <a:solidFill>
                <a:schemeClr val="bg1"/>
              </a:solidFill>
            </a:rPr>
          </a:br>
          <a:r>
            <a:rPr lang="en-US" sz="1400" b="1">
              <a:solidFill>
                <a:schemeClr val="bg1"/>
              </a:solidFill>
            </a:rPr>
            <a:t>Revenue:</a:t>
          </a:r>
        </a:p>
        <a:p>
          <a:r>
            <a:rPr lang="en-US" sz="1400">
              <a:solidFill>
                <a:schemeClr val="bg1"/>
              </a:solidFill>
            </a:rPr>
            <a:t>League</a:t>
          </a:r>
          <a:r>
            <a:rPr lang="en-US" sz="1400" baseline="0">
              <a:solidFill>
                <a:schemeClr val="bg1"/>
              </a:solidFill>
            </a:rPr>
            <a:t> Brackets</a:t>
          </a:r>
        </a:p>
        <a:p>
          <a:r>
            <a:rPr lang="en-US" sz="1400" baseline="0">
              <a:solidFill>
                <a:schemeClr val="bg1"/>
              </a:solidFill>
            </a:rPr>
            <a:t>Participants per bracket</a:t>
          </a:r>
        </a:p>
        <a:p>
          <a:r>
            <a:rPr lang="en-US" sz="1400" baseline="0">
              <a:solidFill>
                <a:schemeClr val="bg1"/>
              </a:solidFill>
            </a:rPr>
            <a:t>Registration Fees</a:t>
          </a:r>
        </a:p>
        <a:p>
          <a:endParaRPr lang="en-US" sz="1400" baseline="0">
            <a:solidFill>
              <a:schemeClr val="bg1"/>
            </a:solidFill>
          </a:endParaRPr>
        </a:p>
        <a:p>
          <a:r>
            <a:rPr lang="en-US" sz="1400" baseline="0">
              <a:solidFill>
                <a:schemeClr val="bg1"/>
              </a:solidFill>
            </a:rPr>
            <a:t>Any other Revenue Sources?</a:t>
          </a:r>
        </a:p>
        <a:p>
          <a:endParaRPr lang="en-US" sz="1400" baseline="0">
            <a:solidFill>
              <a:schemeClr val="bg1"/>
            </a:solidFill>
          </a:endParaRPr>
        </a:p>
        <a:p>
          <a:r>
            <a:rPr lang="en-US" sz="1400" b="1" baseline="0">
              <a:solidFill>
                <a:schemeClr val="bg1"/>
              </a:solidFill>
            </a:rPr>
            <a:t>Expenses:</a:t>
          </a:r>
        </a:p>
        <a:p>
          <a:r>
            <a:rPr lang="en-US" sz="1400" b="0" baseline="0">
              <a:solidFill>
                <a:schemeClr val="bg1"/>
              </a:solidFill>
            </a:rPr>
            <a:t>Jersey Costs - why do we buy extra?</a:t>
          </a:r>
        </a:p>
        <a:p>
          <a:r>
            <a:rPr lang="en-US" sz="1400" b="0" baseline="0">
              <a:solidFill>
                <a:schemeClr val="bg1"/>
              </a:solidFill>
            </a:rPr>
            <a:t>Officiating Costs</a:t>
          </a:r>
        </a:p>
        <a:p>
          <a:r>
            <a:rPr lang="en-US" sz="1400" b="0" baseline="0">
              <a:solidFill>
                <a:schemeClr val="bg1"/>
              </a:solidFill>
            </a:rPr>
            <a:t>how do we calculate Adult Refs?</a:t>
          </a:r>
          <a:br>
            <a:rPr lang="en-US" sz="1400" b="0" baseline="0">
              <a:solidFill>
                <a:schemeClr val="bg1"/>
              </a:solidFill>
            </a:rPr>
          </a:br>
          <a:r>
            <a:rPr lang="en-US" sz="1400" b="0" baseline="0">
              <a:solidFill>
                <a:schemeClr val="bg1"/>
              </a:solidFill>
            </a:rPr>
            <a:t>Your Refs?</a:t>
          </a:r>
        </a:p>
        <a:p>
          <a:r>
            <a:rPr lang="en-US" sz="1400" b="0" baseline="0">
              <a:solidFill>
                <a:schemeClr val="bg1"/>
              </a:solidFill>
            </a:rPr>
            <a:t>No cost for scorekeepers?</a:t>
          </a:r>
        </a:p>
        <a:p>
          <a:r>
            <a:rPr lang="en-US" sz="1400" b="0" baseline="0">
              <a:solidFill>
                <a:schemeClr val="bg1"/>
              </a:solidFill>
            </a:rPr>
            <a:t>Sport Director Costs</a:t>
          </a:r>
        </a:p>
        <a:p>
          <a:r>
            <a:rPr lang="en-US" sz="1400" b="0" baseline="0">
              <a:solidFill>
                <a:schemeClr val="bg1"/>
              </a:solidFill>
            </a:rPr>
            <a:t>Are Assistants / Others needed?</a:t>
          </a:r>
        </a:p>
        <a:p>
          <a:r>
            <a:rPr lang="en-US" sz="1400" b="0" baseline="0">
              <a:solidFill>
                <a:schemeClr val="bg1"/>
              </a:solidFill>
            </a:rPr>
            <a:t>Equipment Costs</a:t>
          </a:r>
        </a:p>
        <a:p>
          <a:r>
            <a:rPr lang="en-US" sz="1400" b="0" baseline="0">
              <a:solidFill>
                <a:schemeClr val="bg1"/>
              </a:solidFill>
            </a:rPr>
            <a:t>What is Coach Credit 12?</a:t>
          </a:r>
        </a:p>
        <a:p>
          <a:endParaRPr lang="en-US" sz="1400" b="0" baseline="0">
            <a:solidFill>
              <a:schemeClr val="bg1"/>
            </a:solidFill>
          </a:endParaRPr>
        </a:p>
        <a:p>
          <a:r>
            <a:rPr lang="en-US" sz="1400" b="0" baseline="0">
              <a:solidFill>
                <a:schemeClr val="bg1"/>
              </a:solidFill>
            </a:rPr>
            <a:t>Any Other Expenses Categories?</a:t>
          </a:r>
        </a:p>
        <a:p>
          <a:endParaRPr lang="en-US" sz="1400" baseline="0">
            <a:solidFill>
              <a:schemeClr val="bg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104775</xdr:rowOff>
    </xdr:from>
    <xdr:to>
      <xdr:col>1</xdr:col>
      <xdr:colOff>514350</xdr:colOff>
      <xdr:row>10</xdr:row>
      <xdr:rowOff>101531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7CA43E-C26A-4437-9B26-7AB2A0243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7725"/>
          <a:ext cx="2847975" cy="1377881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12</xdr:row>
      <xdr:rowOff>28575</xdr:rowOff>
    </xdr:from>
    <xdr:to>
      <xdr:col>10</xdr:col>
      <xdr:colOff>396460</xdr:colOff>
      <xdr:row>57</xdr:row>
      <xdr:rowOff>9525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9A317BA-5D1F-4A6E-B8D4-E267EDE54136}"/>
            </a:ext>
          </a:extLst>
        </xdr:cNvPr>
        <xdr:cNvSpPr txBox="1"/>
      </xdr:nvSpPr>
      <xdr:spPr>
        <a:xfrm>
          <a:off x="5848350" y="2533650"/>
          <a:ext cx="3234910" cy="8505825"/>
        </a:xfrm>
        <a:prstGeom prst="rect">
          <a:avLst/>
        </a:prstGeom>
        <a:solidFill>
          <a:srgbClr val="0070C0"/>
        </a:solidFill>
        <a:ln w="9525" cmpd="sng"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chemeClr val="bg1"/>
              </a:solidFill>
            </a:rPr>
            <a:t>Validate:</a:t>
          </a:r>
          <a:br>
            <a:rPr lang="en-US" sz="1400">
              <a:solidFill>
                <a:schemeClr val="bg1"/>
              </a:solidFill>
            </a:rPr>
          </a:br>
          <a:br>
            <a:rPr lang="en-US" sz="1400">
              <a:solidFill>
                <a:schemeClr val="bg1"/>
              </a:solidFill>
            </a:rPr>
          </a:br>
          <a:r>
            <a:rPr lang="en-US" sz="1400" b="1">
              <a:solidFill>
                <a:schemeClr val="bg1"/>
              </a:solidFill>
            </a:rPr>
            <a:t>Revenue:</a:t>
          </a:r>
        </a:p>
        <a:p>
          <a:r>
            <a:rPr lang="en-US" sz="1400">
              <a:solidFill>
                <a:schemeClr val="bg1"/>
              </a:solidFill>
            </a:rPr>
            <a:t>League</a:t>
          </a:r>
          <a:r>
            <a:rPr lang="en-US" sz="1400" baseline="0">
              <a:solidFill>
                <a:schemeClr val="bg1"/>
              </a:solidFill>
            </a:rPr>
            <a:t> Brackets</a:t>
          </a:r>
        </a:p>
        <a:p>
          <a:r>
            <a:rPr lang="en-US" sz="1400" baseline="0">
              <a:solidFill>
                <a:schemeClr val="bg1"/>
              </a:solidFill>
            </a:rPr>
            <a:t>Participants per bracket</a:t>
          </a:r>
        </a:p>
        <a:p>
          <a:r>
            <a:rPr lang="en-US" sz="1400" baseline="0">
              <a:solidFill>
                <a:schemeClr val="bg1"/>
              </a:solidFill>
            </a:rPr>
            <a:t>Registration Fees</a:t>
          </a:r>
        </a:p>
        <a:p>
          <a:endParaRPr lang="en-US" sz="1400" baseline="0">
            <a:solidFill>
              <a:schemeClr val="bg1"/>
            </a:solidFill>
          </a:endParaRPr>
        </a:p>
        <a:p>
          <a:r>
            <a:rPr lang="en-US" sz="1400" baseline="0">
              <a:solidFill>
                <a:schemeClr val="bg1"/>
              </a:solidFill>
            </a:rPr>
            <a:t>Who is donating $$s for Shirts?</a:t>
          </a:r>
        </a:p>
        <a:p>
          <a:endParaRPr lang="en-US" sz="1400" baseline="0">
            <a:solidFill>
              <a:schemeClr val="bg1"/>
            </a:solidFill>
          </a:endParaRPr>
        </a:p>
        <a:p>
          <a:r>
            <a:rPr lang="en-US" sz="1400" baseline="0">
              <a:solidFill>
                <a:schemeClr val="bg1"/>
              </a:solidFill>
            </a:rPr>
            <a:t>Any other Revenue Sources?</a:t>
          </a:r>
        </a:p>
        <a:p>
          <a:endParaRPr lang="en-US" sz="1400" baseline="0">
            <a:solidFill>
              <a:schemeClr val="bg1"/>
            </a:solidFill>
          </a:endParaRPr>
        </a:p>
        <a:p>
          <a:r>
            <a:rPr lang="en-US" sz="1400" b="1" baseline="0">
              <a:solidFill>
                <a:schemeClr val="bg1"/>
              </a:solidFill>
            </a:rPr>
            <a:t>Expenses:</a:t>
          </a:r>
        </a:p>
        <a:p>
          <a:r>
            <a:rPr lang="en-US" sz="1400" b="0" baseline="0">
              <a:solidFill>
                <a:schemeClr val="bg1"/>
              </a:solidFill>
            </a:rPr>
            <a:t>Jersey Costs</a:t>
          </a:r>
        </a:p>
        <a:p>
          <a:r>
            <a:rPr lang="en-US" sz="1400" b="0" baseline="0">
              <a:solidFill>
                <a:schemeClr val="bg1"/>
              </a:solidFill>
            </a:rPr>
            <a:t>Officiating Costs</a:t>
          </a:r>
        </a:p>
        <a:p>
          <a:r>
            <a:rPr lang="en-US" sz="1400" b="0" baseline="0">
              <a:solidFill>
                <a:schemeClr val="bg1"/>
              </a:solidFill>
            </a:rPr>
            <a:t>Sport Director Costs</a:t>
          </a:r>
        </a:p>
        <a:p>
          <a:r>
            <a:rPr lang="en-US" sz="1400" b="0" baseline="0">
              <a:solidFill>
                <a:schemeClr val="bg1"/>
              </a:solidFill>
            </a:rPr>
            <a:t>Are Assistants / Others needed?</a:t>
          </a:r>
        </a:p>
        <a:p>
          <a:r>
            <a:rPr lang="en-US" sz="1400" b="0" baseline="0">
              <a:solidFill>
                <a:schemeClr val="bg1"/>
              </a:solidFill>
            </a:rPr>
            <a:t>Equipment Costs</a:t>
          </a:r>
        </a:p>
        <a:p>
          <a:r>
            <a:rPr lang="en-US" sz="1400" b="0" baseline="0">
              <a:solidFill>
                <a:schemeClr val="bg1"/>
              </a:solidFill>
            </a:rPr>
            <a:t>What is Coach Credit 12?</a:t>
          </a:r>
        </a:p>
        <a:p>
          <a:endParaRPr lang="en-US" sz="1400" b="0" baseline="0">
            <a:solidFill>
              <a:schemeClr val="bg1"/>
            </a:solidFill>
          </a:endParaRPr>
        </a:p>
        <a:p>
          <a:r>
            <a:rPr lang="en-US" sz="1400" b="0" baseline="0">
              <a:solidFill>
                <a:schemeClr val="bg1"/>
              </a:solidFill>
            </a:rPr>
            <a:t>Any Other Expenses Categories?</a:t>
          </a:r>
        </a:p>
        <a:p>
          <a:endParaRPr lang="en-US" sz="1400" baseline="0">
            <a:solidFill>
              <a:schemeClr val="bg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104775</xdr:rowOff>
    </xdr:from>
    <xdr:to>
      <xdr:col>1</xdr:col>
      <xdr:colOff>514350</xdr:colOff>
      <xdr:row>10</xdr:row>
      <xdr:rowOff>101531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80DE4D-331F-4511-9763-F9AFCBA72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7725"/>
          <a:ext cx="2847975" cy="1377881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12</xdr:row>
      <xdr:rowOff>28575</xdr:rowOff>
    </xdr:from>
    <xdr:to>
      <xdr:col>10</xdr:col>
      <xdr:colOff>396460</xdr:colOff>
      <xdr:row>57</xdr:row>
      <xdr:rowOff>9525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17E9BEA-F456-47F6-AD3B-6354DF8D6A67}"/>
            </a:ext>
          </a:extLst>
        </xdr:cNvPr>
        <xdr:cNvSpPr txBox="1"/>
      </xdr:nvSpPr>
      <xdr:spPr>
        <a:xfrm>
          <a:off x="5848350" y="2533650"/>
          <a:ext cx="3234910" cy="8505825"/>
        </a:xfrm>
        <a:prstGeom prst="rect">
          <a:avLst/>
        </a:prstGeom>
        <a:solidFill>
          <a:srgbClr val="0070C0"/>
        </a:solidFill>
        <a:ln w="9525" cmpd="sng"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chemeClr val="bg1"/>
              </a:solidFill>
            </a:rPr>
            <a:t>Validate:</a:t>
          </a:r>
          <a:br>
            <a:rPr lang="en-US" sz="1400">
              <a:solidFill>
                <a:schemeClr val="bg1"/>
              </a:solidFill>
            </a:rPr>
          </a:br>
          <a:br>
            <a:rPr lang="en-US" sz="1400">
              <a:solidFill>
                <a:schemeClr val="bg1"/>
              </a:solidFill>
            </a:rPr>
          </a:br>
          <a:r>
            <a:rPr lang="en-US" sz="1400" b="1">
              <a:solidFill>
                <a:schemeClr val="bg1"/>
              </a:solidFill>
            </a:rPr>
            <a:t>Revenue:</a:t>
          </a:r>
        </a:p>
        <a:p>
          <a:r>
            <a:rPr lang="en-US" sz="1400">
              <a:solidFill>
                <a:schemeClr val="bg1"/>
              </a:solidFill>
            </a:rPr>
            <a:t>League</a:t>
          </a:r>
          <a:r>
            <a:rPr lang="en-US" sz="1400" baseline="0">
              <a:solidFill>
                <a:schemeClr val="bg1"/>
              </a:solidFill>
            </a:rPr>
            <a:t> Brackets</a:t>
          </a:r>
        </a:p>
        <a:p>
          <a:r>
            <a:rPr lang="en-US" sz="1400" baseline="0">
              <a:solidFill>
                <a:schemeClr val="bg1"/>
              </a:solidFill>
            </a:rPr>
            <a:t>Participants per bracket</a:t>
          </a:r>
        </a:p>
        <a:p>
          <a:r>
            <a:rPr lang="en-US" sz="1400" baseline="0">
              <a:solidFill>
                <a:schemeClr val="bg1"/>
              </a:solidFill>
            </a:rPr>
            <a:t>Registration Fees</a:t>
          </a:r>
        </a:p>
        <a:p>
          <a:endParaRPr lang="en-US" sz="1400" baseline="0">
            <a:solidFill>
              <a:schemeClr val="bg1"/>
            </a:solidFill>
          </a:endParaRPr>
        </a:p>
        <a:p>
          <a:r>
            <a:rPr lang="en-US" sz="1400" baseline="0">
              <a:solidFill>
                <a:schemeClr val="bg1"/>
              </a:solidFill>
            </a:rPr>
            <a:t>Any other Revenue Sources?</a:t>
          </a:r>
        </a:p>
        <a:p>
          <a:endParaRPr lang="en-US" sz="1400" baseline="0">
            <a:solidFill>
              <a:schemeClr val="bg1"/>
            </a:solidFill>
          </a:endParaRPr>
        </a:p>
        <a:p>
          <a:r>
            <a:rPr lang="en-US" sz="1400" b="1" baseline="0">
              <a:solidFill>
                <a:schemeClr val="bg1"/>
              </a:solidFill>
            </a:rPr>
            <a:t>Expenses:</a:t>
          </a:r>
        </a:p>
        <a:p>
          <a:r>
            <a:rPr lang="en-US" sz="1400" b="0" baseline="0">
              <a:solidFill>
                <a:schemeClr val="bg1"/>
              </a:solidFill>
            </a:rPr>
            <a:t>Jersey Costs</a:t>
          </a:r>
        </a:p>
        <a:p>
          <a:r>
            <a:rPr lang="en-US" sz="1400" b="0" baseline="0">
              <a:solidFill>
                <a:schemeClr val="bg1"/>
              </a:solidFill>
            </a:rPr>
            <a:t>Officiating Costs</a:t>
          </a:r>
        </a:p>
        <a:p>
          <a:r>
            <a:rPr lang="en-US" sz="1400" b="0" baseline="0">
              <a:solidFill>
                <a:schemeClr val="bg1"/>
              </a:solidFill>
            </a:rPr>
            <a:t>Sport Director Costs</a:t>
          </a:r>
        </a:p>
        <a:p>
          <a:r>
            <a:rPr lang="en-US" sz="1400" b="0" baseline="0">
              <a:solidFill>
                <a:schemeClr val="bg1"/>
              </a:solidFill>
            </a:rPr>
            <a:t>Are Assistants / Others needed?</a:t>
          </a:r>
        </a:p>
        <a:p>
          <a:r>
            <a:rPr lang="en-US" sz="1400" b="0" baseline="0">
              <a:solidFill>
                <a:schemeClr val="bg1"/>
              </a:solidFill>
            </a:rPr>
            <a:t>Equipment Costs</a:t>
          </a:r>
        </a:p>
        <a:p>
          <a:r>
            <a:rPr lang="en-US" sz="1400" b="0" baseline="0">
              <a:solidFill>
                <a:schemeClr val="bg1"/>
              </a:solidFill>
            </a:rPr>
            <a:t>What is Coach Credit 12?</a:t>
          </a:r>
        </a:p>
        <a:p>
          <a:endParaRPr lang="en-US" sz="1400" b="0" baseline="0">
            <a:solidFill>
              <a:schemeClr val="bg1"/>
            </a:solidFill>
          </a:endParaRPr>
        </a:p>
        <a:p>
          <a:r>
            <a:rPr lang="en-US" sz="1400" b="0" baseline="0">
              <a:solidFill>
                <a:schemeClr val="bg1"/>
              </a:solidFill>
            </a:rPr>
            <a:t>Any Other Expenses Categories?</a:t>
          </a:r>
        </a:p>
        <a:p>
          <a:endParaRPr lang="en-US" sz="1400" baseline="0">
            <a:solidFill>
              <a:schemeClr val="bg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104775</xdr:rowOff>
    </xdr:from>
    <xdr:to>
      <xdr:col>1</xdr:col>
      <xdr:colOff>514350</xdr:colOff>
      <xdr:row>10</xdr:row>
      <xdr:rowOff>101531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D4AB99F-4CFF-4BA6-BC0B-065E8B88D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7725"/>
          <a:ext cx="2847975" cy="1377881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12</xdr:row>
      <xdr:rowOff>28575</xdr:rowOff>
    </xdr:from>
    <xdr:to>
      <xdr:col>10</xdr:col>
      <xdr:colOff>396460</xdr:colOff>
      <xdr:row>59</xdr:row>
      <xdr:rowOff>9525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6A0A72B-47C3-453B-A16A-0BD73C51A680}"/>
            </a:ext>
          </a:extLst>
        </xdr:cNvPr>
        <xdr:cNvSpPr txBox="1"/>
      </xdr:nvSpPr>
      <xdr:spPr>
        <a:xfrm>
          <a:off x="5848350" y="2533650"/>
          <a:ext cx="3234910" cy="8505825"/>
        </a:xfrm>
        <a:prstGeom prst="rect">
          <a:avLst/>
        </a:prstGeom>
        <a:solidFill>
          <a:srgbClr val="0070C0"/>
        </a:solidFill>
        <a:ln w="9525" cmpd="sng"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chemeClr val="bg1"/>
              </a:solidFill>
            </a:rPr>
            <a:t>Validate:</a:t>
          </a:r>
          <a:br>
            <a:rPr lang="en-US" sz="1400">
              <a:solidFill>
                <a:schemeClr val="bg1"/>
              </a:solidFill>
            </a:rPr>
          </a:br>
          <a:br>
            <a:rPr lang="en-US" sz="1400">
              <a:solidFill>
                <a:schemeClr val="bg1"/>
              </a:solidFill>
            </a:rPr>
          </a:br>
          <a:r>
            <a:rPr lang="en-US" sz="1400" b="1">
              <a:solidFill>
                <a:schemeClr val="bg1"/>
              </a:solidFill>
            </a:rPr>
            <a:t>Revenue:</a:t>
          </a:r>
        </a:p>
        <a:p>
          <a:r>
            <a:rPr lang="en-US" sz="1400">
              <a:solidFill>
                <a:schemeClr val="bg1"/>
              </a:solidFill>
            </a:rPr>
            <a:t>League</a:t>
          </a:r>
          <a:r>
            <a:rPr lang="en-US" sz="1400" baseline="0">
              <a:solidFill>
                <a:schemeClr val="bg1"/>
              </a:solidFill>
            </a:rPr>
            <a:t> Brackets</a:t>
          </a:r>
        </a:p>
        <a:p>
          <a:r>
            <a:rPr lang="en-US" sz="1400" baseline="0">
              <a:solidFill>
                <a:schemeClr val="bg1"/>
              </a:solidFill>
            </a:rPr>
            <a:t>Participants per bracket</a:t>
          </a:r>
        </a:p>
        <a:p>
          <a:r>
            <a:rPr lang="en-US" sz="1400" baseline="0">
              <a:solidFill>
                <a:schemeClr val="bg1"/>
              </a:solidFill>
            </a:rPr>
            <a:t>Registration Fees</a:t>
          </a:r>
        </a:p>
        <a:p>
          <a:endParaRPr lang="en-US" sz="1400" baseline="0">
            <a:solidFill>
              <a:schemeClr val="bg1"/>
            </a:solidFill>
          </a:endParaRPr>
        </a:p>
        <a:p>
          <a:r>
            <a:rPr lang="en-US" sz="1400" baseline="0">
              <a:solidFill>
                <a:schemeClr val="bg1"/>
              </a:solidFill>
            </a:rPr>
            <a:t>Any other Revenue Sources?</a:t>
          </a:r>
        </a:p>
        <a:p>
          <a:endParaRPr lang="en-US" sz="1400" baseline="0">
            <a:solidFill>
              <a:schemeClr val="bg1"/>
            </a:solidFill>
          </a:endParaRPr>
        </a:p>
        <a:p>
          <a:r>
            <a:rPr lang="en-US" sz="1400" b="1" baseline="0">
              <a:solidFill>
                <a:schemeClr val="bg1"/>
              </a:solidFill>
            </a:rPr>
            <a:t>Expenses:</a:t>
          </a:r>
        </a:p>
        <a:p>
          <a:r>
            <a:rPr lang="en-US" sz="1400" b="0" baseline="0">
              <a:solidFill>
                <a:schemeClr val="bg1"/>
              </a:solidFill>
            </a:rPr>
            <a:t>Jersey Costs</a:t>
          </a:r>
        </a:p>
        <a:p>
          <a:r>
            <a:rPr lang="en-US" sz="1400" b="0" baseline="0">
              <a:solidFill>
                <a:schemeClr val="bg1"/>
              </a:solidFill>
            </a:rPr>
            <a:t>Officiating Costs</a:t>
          </a:r>
        </a:p>
        <a:p>
          <a:r>
            <a:rPr lang="en-US" sz="1400" b="0" baseline="0">
              <a:solidFill>
                <a:schemeClr val="bg1"/>
              </a:solidFill>
            </a:rPr>
            <a:t>Sport Director Costs</a:t>
          </a:r>
        </a:p>
        <a:p>
          <a:r>
            <a:rPr lang="en-US" sz="1400" b="0" baseline="0">
              <a:solidFill>
                <a:schemeClr val="bg1"/>
              </a:solidFill>
            </a:rPr>
            <a:t>Are Assistants / Others needed?</a:t>
          </a:r>
        </a:p>
        <a:p>
          <a:r>
            <a:rPr lang="en-US" sz="1400" b="0" baseline="0">
              <a:solidFill>
                <a:schemeClr val="bg1"/>
              </a:solidFill>
            </a:rPr>
            <a:t>Equipment Costs</a:t>
          </a:r>
        </a:p>
        <a:p>
          <a:r>
            <a:rPr lang="en-US" sz="1400" b="0" baseline="0">
              <a:solidFill>
                <a:schemeClr val="bg1"/>
              </a:solidFill>
            </a:rPr>
            <a:t>What is Coach Credit 12?</a:t>
          </a:r>
        </a:p>
        <a:p>
          <a:endParaRPr lang="en-US" sz="1400" b="0" baseline="0">
            <a:solidFill>
              <a:schemeClr val="bg1"/>
            </a:solidFill>
          </a:endParaRPr>
        </a:p>
        <a:p>
          <a:r>
            <a:rPr lang="en-US" sz="1400" b="0" baseline="0">
              <a:solidFill>
                <a:schemeClr val="bg1"/>
              </a:solidFill>
            </a:rPr>
            <a:t>Any Other Expenses Categories?</a:t>
          </a:r>
        </a:p>
        <a:p>
          <a:endParaRPr lang="en-US" sz="1400" baseline="0">
            <a:solidFill>
              <a:schemeClr val="bg1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104775</xdr:rowOff>
    </xdr:from>
    <xdr:to>
      <xdr:col>1</xdr:col>
      <xdr:colOff>514350</xdr:colOff>
      <xdr:row>10</xdr:row>
      <xdr:rowOff>101531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2E30BA-75F3-42BC-A4B6-38E623C24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7725"/>
          <a:ext cx="2847975" cy="1377881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12</xdr:row>
      <xdr:rowOff>28575</xdr:rowOff>
    </xdr:from>
    <xdr:to>
      <xdr:col>10</xdr:col>
      <xdr:colOff>396460</xdr:colOff>
      <xdr:row>58</xdr:row>
      <xdr:rowOff>9525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05635B9-4FD8-4878-BF8F-39DAB142AA44}"/>
            </a:ext>
          </a:extLst>
        </xdr:cNvPr>
        <xdr:cNvSpPr txBox="1"/>
      </xdr:nvSpPr>
      <xdr:spPr>
        <a:xfrm>
          <a:off x="5848350" y="2533650"/>
          <a:ext cx="3234910" cy="8505825"/>
        </a:xfrm>
        <a:prstGeom prst="rect">
          <a:avLst/>
        </a:prstGeom>
        <a:solidFill>
          <a:srgbClr val="0070C0"/>
        </a:solidFill>
        <a:ln w="9525" cmpd="sng"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chemeClr val="bg1"/>
              </a:solidFill>
            </a:rPr>
            <a:t>Validate:</a:t>
          </a:r>
          <a:br>
            <a:rPr lang="en-US" sz="1400">
              <a:solidFill>
                <a:schemeClr val="bg1"/>
              </a:solidFill>
            </a:rPr>
          </a:br>
          <a:br>
            <a:rPr lang="en-US" sz="1400">
              <a:solidFill>
                <a:schemeClr val="bg1"/>
              </a:solidFill>
            </a:rPr>
          </a:br>
          <a:r>
            <a:rPr lang="en-US" sz="1400" b="1">
              <a:solidFill>
                <a:schemeClr val="bg1"/>
              </a:solidFill>
            </a:rPr>
            <a:t>Revenue:</a:t>
          </a:r>
        </a:p>
        <a:p>
          <a:r>
            <a:rPr lang="en-US" sz="1400">
              <a:solidFill>
                <a:schemeClr val="bg1"/>
              </a:solidFill>
            </a:rPr>
            <a:t>League</a:t>
          </a:r>
          <a:r>
            <a:rPr lang="en-US" sz="1400" baseline="0">
              <a:solidFill>
                <a:schemeClr val="bg1"/>
              </a:solidFill>
            </a:rPr>
            <a:t> Brackets</a:t>
          </a:r>
        </a:p>
        <a:p>
          <a:r>
            <a:rPr lang="en-US" sz="1400" baseline="0">
              <a:solidFill>
                <a:schemeClr val="bg1"/>
              </a:solidFill>
            </a:rPr>
            <a:t>Participants per bracket</a:t>
          </a:r>
        </a:p>
        <a:p>
          <a:r>
            <a:rPr lang="en-US" sz="1400" baseline="0">
              <a:solidFill>
                <a:schemeClr val="bg1"/>
              </a:solidFill>
            </a:rPr>
            <a:t>Registration Fees</a:t>
          </a:r>
        </a:p>
        <a:p>
          <a:endParaRPr lang="en-US" sz="1400" baseline="0">
            <a:solidFill>
              <a:schemeClr val="bg1"/>
            </a:solidFill>
          </a:endParaRPr>
        </a:p>
        <a:p>
          <a:r>
            <a:rPr lang="en-US" sz="1400" baseline="0">
              <a:solidFill>
                <a:schemeClr val="bg1"/>
              </a:solidFill>
            </a:rPr>
            <a:t>Any other Revenue Sources?</a:t>
          </a:r>
        </a:p>
        <a:p>
          <a:endParaRPr lang="en-US" sz="1400" baseline="0">
            <a:solidFill>
              <a:schemeClr val="bg1"/>
            </a:solidFill>
          </a:endParaRPr>
        </a:p>
        <a:p>
          <a:r>
            <a:rPr lang="en-US" sz="1400" b="1" baseline="0">
              <a:solidFill>
                <a:schemeClr val="bg1"/>
              </a:solidFill>
            </a:rPr>
            <a:t>Expenses:</a:t>
          </a:r>
        </a:p>
        <a:p>
          <a:r>
            <a:rPr lang="en-US" sz="1400" b="0" baseline="0">
              <a:solidFill>
                <a:schemeClr val="bg1"/>
              </a:solidFill>
            </a:rPr>
            <a:t>Jersey Costs</a:t>
          </a:r>
        </a:p>
        <a:p>
          <a:r>
            <a:rPr lang="en-US" sz="1400" b="0" baseline="0">
              <a:solidFill>
                <a:schemeClr val="bg1"/>
              </a:solidFill>
            </a:rPr>
            <a:t>Officiating Costs</a:t>
          </a:r>
        </a:p>
        <a:p>
          <a:r>
            <a:rPr lang="en-US" sz="1400" b="0" baseline="0">
              <a:solidFill>
                <a:schemeClr val="bg1"/>
              </a:solidFill>
            </a:rPr>
            <a:t>Sport Director Costs</a:t>
          </a:r>
        </a:p>
        <a:p>
          <a:r>
            <a:rPr lang="en-US" sz="1400" b="0" baseline="0">
              <a:solidFill>
                <a:schemeClr val="bg1"/>
              </a:solidFill>
            </a:rPr>
            <a:t>Are Assistants / Others needed?</a:t>
          </a:r>
        </a:p>
        <a:p>
          <a:r>
            <a:rPr lang="en-US" sz="1400" b="0" baseline="0">
              <a:solidFill>
                <a:schemeClr val="bg1"/>
              </a:solidFill>
            </a:rPr>
            <a:t>Equipment Costs</a:t>
          </a:r>
        </a:p>
        <a:p>
          <a:r>
            <a:rPr lang="en-US" sz="1400" b="0" baseline="0">
              <a:solidFill>
                <a:schemeClr val="bg1"/>
              </a:solidFill>
            </a:rPr>
            <a:t>What is Coach Credit 12?</a:t>
          </a:r>
        </a:p>
        <a:p>
          <a:endParaRPr lang="en-US" sz="1400" b="0" baseline="0">
            <a:solidFill>
              <a:schemeClr val="bg1"/>
            </a:solidFill>
          </a:endParaRPr>
        </a:p>
        <a:p>
          <a:r>
            <a:rPr lang="en-US" sz="1400" b="0" baseline="0">
              <a:solidFill>
                <a:schemeClr val="bg1"/>
              </a:solidFill>
            </a:rPr>
            <a:t>Any Other Expenses Categories?</a:t>
          </a:r>
        </a:p>
        <a:p>
          <a:endParaRPr lang="en-US" sz="1400" baseline="0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NS%20REC%20BOD\2023%20NSSRD%20Budget%20Draft_10_18%20(WSC%20Review%20and%20Questions).xlsx" TargetMode="External"/><Relationship Id="rId1" Type="http://schemas.openxmlformats.org/officeDocument/2006/relationships/externalLinkPath" Target="2023%20NSSRD%20Budget%20Draft_10_18%20(WSC%20Review%20and%20Question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uestions"/>
      <sheetName val="Income Statement"/>
      <sheetName val="State Income Statement"/>
      <sheetName val="Prior Budget Comparison"/>
      <sheetName val="Current Year IS"/>
      <sheetName val="SCH A Expense Schedules"/>
      <sheetName val="Sch B Loan"/>
      <sheetName val="Sch C Cash Flows"/>
      <sheetName val="Sch D Employee Compensation"/>
      <sheetName val="Sch E Program Summary"/>
      <sheetName val="Sch F Fee Schedule"/>
      <sheetName val="Mar Volleyball"/>
      <sheetName val="APr-May Flag Football"/>
      <sheetName val="May-Jun Baseball"/>
      <sheetName val="Training-April"/>
      <sheetName val="GymKhanna May to Aug"/>
      <sheetName val="Aug-Sep Soccer"/>
      <sheetName val="Dec-Feb Basketball"/>
      <sheetName val="Nov 3 on 3BB"/>
      <sheetName val="June-Adult VB"/>
      <sheetName val="June-Kennady"/>
      <sheetName val="Jul-Sep Footb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G9">
            <v>45520.020000000004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ED92E-C8D6-4575-9256-4146992D3A4F}">
  <sheetPr>
    <pageSetUpPr fitToPage="1"/>
  </sheetPr>
  <dimension ref="A1:K32"/>
  <sheetViews>
    <sheetView zoomScale="145" zoomScaleNormal="145" workbookViewId="0">
      <selection activeCell="B14" sqref="B14"/>
    </sheetView>
  </sheetViews>
  <sheetFormatPr defaultColWidth="8.85546875" defaultRowHeight="15" x14ac:dyDescent="0.25"/>
  <cols>
    <col min="1" max="1" width="4.42578125" customWidth="1"/>
    <col min="2" max="2" width="100.42578125" customWidth="1"/>
    <col min="5" max="11" width="11" customWidth="1"/>
  </cols>
  <sheetData>
    <row r="1" spans="1:2" ht="18.75" x14ac:dyDescent="0.3">
      <c r="A1" s="20" t="s">
        <v>0</v>
      </c>
    </row>
    <row r="2" spans="1:2" x14ac:dyDescent="0.25">
      <c r="A2">
        <v>1</v>
      </c>
      <c r="B2" t="s">
        <v>1</v>
      </c>
    </row>
    <row r="3" spans="1:2" x14ac:dyDescent="0.25">
      <c r="A3">
        <v>2</v>
      </c>
      <c r="B3" t="s">
        <v>2</v>
      </c>
    </row>
    <row r="7" spans="1:2" ht="18.75" x14ac:dyDescent="0.3">
      <c r="A7" s="207"/>
      <c r="B7" s="207"/>
    </row>
    <row r="27" spans="1:11" ht="18.75" x14ac:dyDescent="0.3">
      <c r="A27" s="207"/>
      <c r="B27" s="207"/>
    </row>
    <row r="29" spans="1:11" x14ac:dyDescent="0.25">
      <c r="E29" s="5"/>
      <c r="F29" s="5"/>
      <c r="G29" s="5"/>
      <c r="H29" s="5"/>
      <c r="I29" s="5"/>
      <c r="J29" s="5"/>
      <c r="K29" s="5"/>
    </row>
    <row r="30" spans="1:11" x14ac:dyDescent="0.25">
      <c r="D30" s="11"/>
      <c r="E30" s="205"/>
      <c r="F30" s="205"/>
      <c r="G30" s="205"/>
      <c r="H30" s="205"/>
      <c r="I30" s="205"/>
      <c r="J30" s="205"/>
      <c r="K30" s="206"/>
    </row>
    <row r="31" spans="1:11" x14ac:dyDescent="0.25">
      <c r="D31" s="11"/>
      <c r="E31" s="205"/>
      <c r="F31" s="205"/>
      <c r="G31" s="205"/>
      <c r="H31" s="205"/>
      <c r="I31" s="205"/>
      <c r="J31" s="205"/>
      <c r="K31" s="205"/>
    </row>
    <row r="32" spans="1:11" x14ac:dyDescent="0.25">
      <c r="D32" s="11"/>
      <c r="E32" s="205"/>
      <c r="F32" s="205"/>
      <c r="G32" s="205"/>
      <c r="H32" s="205"/>
      <c r="I32" s="205"/>
      <c r="J32" s="205"/>
      <c r="K32" s="205"/>
    </row>
  </sheetData>
  <mergeCells count="2">
    <mergeCell ref="A7:B7"/>
    <mergeCell ref="A27:B27"/>
  </mergeCells>
  <pageMargins left="0.7" right="0.7" top="0.75" bottom="0.75" header="0.3" footer="0.3"/>
  <pageSetup scale="95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B160C-5EE5-4CA2-A234-82697DC78059}">
  <sheetPr>
    <tabColor rgb="FF92D050"/>
    <pageSetUpPr fitToPage="1"/>
  </sheetPr>
  <dimension ref="A1:AK77"/>
  <sheetViews>
    <sheetView tabSelected="1" topLeftCell="G1" zoomScale="160" zoomScaleNormal="160" workbookViewId="0">
      <selection activeCell="Z14" sqref="Z14"/>
    </sheetView>
  </sheetViews>
  <sheetFormatPr defaultColWidth="8.85546875" defaultRowHeight="15" x14ac:dyDescent="0.25"/>
  <cols>
    <col min="1" max="6" width="0" hidden="1" customWidth="1"/>
    <col min="7" max="8" width="1.28515625" style="26" customWidth="1"/>
    <col min="9" max="9" width="27.42578125" customWidth="1"/>
    <col min="10" max="10" width="7.42578125" bestFit="1" customWidth="1"/>
    <col min="11" max="11" width="8.42578125" bestFit="1" customWidth="1"/>
    <col min="12" max="19" width="8.28515625" bestFit="1" customWidth="1"/>
    <col min="20" max="20" width="8.42578125" bestFit="1" customWidth="1"/>
    <col min="21" max="21" width="8.5703125" bestFit="1" customWidth="1"/>
    <col min="22" max="22" width="8.42578125" bestFit="1" customWidth="1"/>
    <col min="24" max="24" width="14.7109375" bestFit="1" customWidth="1"/>
    <col min="25" max="26" width="11.5703125" customWidth="1"/>
    <col min="27" max="27" width="4" customWidth="1"/>
    <col min="28" max="29" width="15.140625" customWidth="1"/>
  </cols>
  <sheetData>
    <row r="1" spans="1:37" x14ac:dyDescent="0.25">
      <c r="J1" s="208" t="s">
        <v>372</v>
      </c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</row>
    <row r="2" spans="1:37" x14ac:dyDescent="0.25"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</row>
    <row r="3" spans="1:37" x14ac:dyDescent="0.25"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</row>
    <row r="4" spans="1:37" ht="15.75" thickBot="1" x14ac:dyDescent="0.3"/>
    <row r="5" spans="1:37" s="21" customFormat="1" ht="12.75" thickBot="1" x14ac:dyDescent="0.25">
      <c r="G5" s="26"/>
      <c r="H5" s="26"/>
      <c r="J5" s="49" t="s">
        <v>373</v>
      </c>
      <c r="K5" s="49" t="s">
        <v>349</v>
      </c>
      <c r="L5" s="49" t="s">
        <v>324</v>
      </c>
      <c r="M5" s="49" t="s">
        <v>339</v>
      </c>
      <c r="N5" s="49" t="s">
        <v>227</v>
      </c>
      <c r="O5" s="49" t="s">
        <v>341</v>
      </c>
      <c r="P5" s="49" t="s">
        <v>362</v>
      </c>
      <c r="Q5" s="49" t="s">
        <v>344</v>
      </c>
      <c r="R5" s="49" t="s">
        <v>346</v>
      </c>
      <c r="S5" s="49" t="s">
        <v>374</v>
      </c>
      <c r="T5" s="49" t="s">
        <v>296</v>
      </c>
      <c r="U5" s="49" t="s">
        <v>348</v>
      </c>
      <c r="V5" s="50" t="s">
        <v>3</v>
      </c>
      <c r="X5" s="398" t="s">
        <v>391</v>
      </c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</row>
    <row r="6" spans="1:37" s="21" customFormat="1" ht="12" x14ac:dyDescent="0.2">
      <c r="A6" s="22"/>
      <c r="B6" s="22"/>
      <c r="C6" s="22"/>
      <c r="D6" s="22"/>
      <c r="E6" s="22"/>
      <c r="F6" s="22"/>
      <c r="G6" s="44"/>
      <c r="H6" s="44"/>
      <c r="I6" s="23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37" s="21" customFormat="1" ht="12" x14ac:dyDescent="0.2">
      <c r="A7" s="22"/>
      <c r="B7" s="22"/>
      <c r="C7" s="22"/>
      <c r="D7" s="22"/>
      <c r="E7" s="22"/>
      <c r="F7" s="22"/>
      <c r="G7" s="82" t="s">
        <v>4</v>
      </c>
      <c r="H7" s="41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</row>
    <row r="8" spans="1:37" s="21" customFormat="1" ht="12" x14ac:dyDescent="0.2">
      <c r="A8" s="22"/>
      <c r="B8" s="22"/>
      <c r="C8" s="22"/>
      <c r="D8" s="22"/>
      <c r="E8" s="22"/>
      <c r="F8" s="22"/>
      <c r="G8" s="44"/>
      <c r="H8" s="44"/>
      <c r="I8" s="23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</row>
    <row r="9" spans="1:37" s="21" customFormat="1" ht="12.75" thickBot="1" x14ac:dyDescent="0.25">
      <c r="G9" s="83" t="s">
        <v>5</v>
      </c>
      <c r="H9" s="25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</row>
    <row r="10" spans="1:37" s="21" customFormat="1" ht="15.75" thickBot="1" x14ac:dyDescent="0.3">
      <c r="A10" s="43"/>
      <c r="B10" s="43"/>
      <c r="C10" s="43"/>
      <c r="D10" s="43" t="s">
        <v>6</v>
      </c>
      <c r="E10" s="43"/>
      <c r="F10" s="43"/>
      <c r="G10" s="44"/>
      <c r="H10" s="44"/>
      <c r="I10" s="54" t="s">
        <v>7</v>
      </c>
      <c r="J10" s="55">
        <f>SUMIF('Sch E Program Summary'!$C$8:$C$18,J$5,'Sch E Program Summary'!$G$8:$G$18)</f>
        <v>0</v>
      </c>
      <c r="K10" s="55">
        <f>SUMIF('Sch E Program Summary'!$C$8:$C$18,K$5,'Sch E Program Summary'!$G$8:$G$18)</f>
        <v>0</v>
      </c>
      <c r="L10" s="55">
        <f>SUMIF('Sch E Program Summary'!$C$8:$C$18,L$5,'Sch E Program Summary'!$G$8:$G$18)</f>
        <v>3150</v>
      </c>
      <c r="M10" s="55">
        <f>SUMIF('Sch E Program Summary'!$C$8:$C$18,M$5,'Sch E Program Summary'!$G$8:$G$18)</f>
        <v>10877</v>
      </c>
      <c r="N10" s="55">
        <f>SUMIF('Sch E Program Summary'!$C$8:$C$18,N$5,'Sch E Program Summary'!$G$8:$G$18)</f>
        <v>18733.419999999998</v>
      </c>
      <c r="O10" s="55">
        <f>SUMIF('Sch E Program Summary'!$C$8:$C$18,O$5,'Sch E Program Summary'!$G$8:$G$18)</f>
        <v>10830</v>
      </c>
      <c r="P10" s="55">
        <f>SUMIF('Sch E Program Summary'!$C$8:$C$18,P$5,'Sch E Program Summary'!$G$8:$G$18)</f>
        <v>5815</v>
      </c>
      <c r="Q10" s="55">
        <f>SUMIF('Sch E Program Summary'!$C$8:$C$18,Q$5,'Sch E Program Summary'!$G$8:$G$18)</f>
        <v>3575</v>
      </c>
      <c r="R10" s="55">
        <f>SUMIF('Sch E Program Summary'!$C$8:$C$18,R$5,'Sch E Program Summary'!$G$8:$G$18)</f>
        <v>0</v>
      </c>
      <c r="S10" s="55">
        <f>SUMIF('Sch E Program Summary'!$C$8:$C$18,S$5,'Sch E Program Summary'!$G$8:$G$18)</f>
        <v>0</v>
      </c>
      <c r="T10" s="55">
        <f>SUMIF('Sch E Program Summary'!$C$8:$C$18,T$5,'Sch E Program Summary'!$G$8:$G$18)</f>
        <v>1380</v>
      </c>
      <c r="U10" s="55">
        <f>SUMIF('Sch E Program Summary'!$C$8:$C$18,U$5,'Sch E Program Summary'!$G$8:$G$18)</f>
        <v>10965</v>
      </c>
      <c r="V10" s="56">
        <f t="shared" ref="V10:V12" si="0">SUM(J10:U10)</f>
        <v>65325.42</v>
      </c>
      <c r="X10" s="393">
        <f>+V10-'Sch E Program Summary'!G20</f>
        <v>0</v>
      </c>
      <c r="Y10" s="401" t="s">
        <v>403</v>
      </c>
      <c r="Z10" s="400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</row>
    <row r="11" spans="1:37" s="21" customFormat="1" ht="15.75" thickBot="1" x14ac:dyDescent="0.3">
      <c r="A11" s="43"/>
      <c r="B11" s="43"/>
      <c r="C11" s="43"/>
      <c r="D11" s="43" t="s">
        <v>8</v>
      </c>
      <c r="E11" s="43"/>
      <c r="F11" s="43"/>
      <c r="G11" s="45"/>
      <c r="H11" s="45"/>
      <c r="I11" s="58" t="s">
        <v>9</v>
      </c>
      <c r="J11" s="59">
        <f>-'Sch G Scholarship Distribution'!$C$3*(J10/$V$10)</f>
        <v>0</v>
      </c>
      <c r="K11" s="59">
        <f>-'Sch G Scholarship Distribution'!$C$3*(K10/$V$10)</f>
        <v>0</v>
      </c>
      <c r="L11" s="59">
        <f>-'Sch G Scholarship Distribution'!$C$3*(L10/$V$10)</f>
        <v>-120.55031563516928</v>
      </c>
      <c r="M11" s="59">
        <f>-'Sch G Scholarship Distribution'!$C$3*(M10/$V$10)</f>
        <v>-416.26215338531307</v>
      </c>
      <c r="N11" s="59">
        <f>-'Sch G Scholarship Distribution'!$C$3*(N10/$V$10)</f>
        <v>-716.92688696069604</v>
      </c>
      <c r="O11" s="59">
        <f>-'Sch G Scholarship Distribution'!$C$3*(O10/$V$10)</f>
        <v>-414.46346613615339</v>
      </c>
      <c r="P11" s="59">
        <f>-'Sch G Scholarship Distribution'!$C$3*(P10/$V$10)</f>
        <v>-222.53970965666966</v>
      </c>
      <c r="Q11" s="59">
        <f>-'Sch G Scholarship Distribution'!$C$3*(Q10/$V$10)</f>
        <v>-136.81504076054927</v>
      </c>
      <c r="R11" s="59">
        <f>-'Sch G Scholarship Distribution'!$C$3*(R10/$V$10)</f>
        <v>0</v>
      </c>
      <c r="S11" s="59">
        <f>-'Sch G Scholarship Distribution'!$C$3*(S10/$V$10)</f>
        <v>0</v>
      </c>
      <c r="T11" s="59">
        <f>-'Sch G Scholarship Distribution'!$C$3*(T10/$V$10)</f>
        <v>-52.812519230645599</v>
      </c>
      <c r="U11" s="59">
        <f>-'Sch G Scholarship Distribution'!$C$3*(U10/$V$10)</f>
        <v>-419.62990823480351</v>
      </c>
      <c r="V11" s="60">
        <f t="shared" si="0"/>
        <v>-2500</v>
      </c>
      <c r="X11" s="394">
        <f>+-V11-'Sch G Scholarship Distribution'!C3</f>
        <v>0</v>
      </c>
      <c r="Y11"/>
      <c r="Z11"/>
    </row>
    <row r="12" spans="1:37" s="21" customFormat="1" ht="12" x14ac:dyDescent="0.2">
      <c r="A12" s="43"/>
      <c r="B12" s="43"/>
      <c r="C12" s="43"/>
      <c r="D12" s="43"/>
      <c r="E12" s="43"/>
      <c r="F12" s="43"/>
      <c r="G12" s="44"/>
      <c r="H12" s="44"/>
      <c r="I12" s="61" t="s">
        <v>10</v>
      </c>
      <c r="J12" s="56">
        <f>SUM(J10:J11)</f>
        <v>0</v>
      </c>
      <c r="K12" s="56">
        <f t="shared" ref="K12:U12" si="1">SUM(K10:K11)</f>
        <v>0</v>
      </c>
      <c r="L12" s="56">
        <f t="shared" si="1"/>
        <v>3029.4496843648308</v>
      </c>
      <c r="M12" s="56">
        <f t="shared" si="1"/>
        <v>10460.737846614687</v>
      </c>
      <c r="N12" s="56">
        <f t="shared" si="1"/>
        <v>18016.493113039302</v>
      </c>
      <c r="O12" s="56">
        <f t="shared" si="1"/>
        <v>10415.536533863846</v>
      </c>
      <c r="P12" s="56">
        <f t="shared" si="1"/>
        <v>5592.4602903433306</v>
      </c>
      <c r="Q12" s="56">
        <f t="shared" si="1"/>
        <v>3438.1849592394506</v>
      </c>
      <c r="R12" s="56">
        <f t="shared" si="1"/>
        <v>0</v>
      </c>
      <c r="S12" s="56">
        <f t="shared" si="1"/>
        <v>0</v>
      </c>
      <c r="T12" s="56">
        <f t="shared" si="1"/>
        <v>1327.1874807693544</v>
      </c>
      <c r="U12" s="56">
        <f t="shared" si="1"/>
        <v>10545.370091765197</v>
      </c>
      <c r="V12" s="56">
        <f t="shared" si="0"/>
        <v>62825.42</v>
      </c>
    </row>
    <row r="13" spans="1:37" s="21" customFormat="1" ht="12" x14ac:dyDescent="0.2">
      <c r="A13" s="22"/>
      <c r="B13" s="22"/>
      <c r="C13" s="22"/>
      <c r="D13" s="22"/>
      <c r="E13" s="22"/>
      <c r="F13" s="22"/>
      <c r="G13" s="44"/>
      <c r="H13" s="44"/>
      <c r="I13" s="62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</row>
    <row r="14" spans="1:37" s="21" customFormat="1" ht="12" x14ac:dyDescent="0.2">
      <c r="A14" s="22"/>
      <c r="B14" s="22"/>
      <c r="C14" s="22" t="s">
        <v>11</v>
      </c>
      <c r="D14" s="22"/>
      <c r="E14" s="22"/>
      <c r="F14" s="22"/>
      <c r="G14" s="84" t="s">
        <v>12</v>
      </c>
      <c r="H14" s="25"/>
      <c r="I14" s="64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</row>
    <row r="15" spans="1:37" s="21" customFormat="1" ht="12.75" thickBot="1" x14ac:dyDescent="0.25">
      <c r="A15" s="22"/>
      <c r="B15" s="22"/>
      <c r="C15" s="22"/>
      <c r="D15" s="22" t="s">
        <v>13</v>
      </c>
      <c r="E15" s="22"/>
      <c r="F15" s="22"/>
      <c r="G15" s="44"/>
      <c r="H15" s="26"/>
      <c r="I15" s="22" t="s">
        <v>14</v>
      </c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</row>
    <row r="16" spans="1:37" s="21" customFormat="1" ht="12" x14ac:dyDescent="0.2">
      <c r="A16" s="43"/>
      <c r="B16" s="43"/>
      <c r="C16" s="43"/>
      <c r="D16" s="43"/>
      <c r="E16" s="43" t="s">
        <v>15</v>
      </c>
      <c r="F16" s="43"/>
      <c r="G16" s="45"/>
      <c r="H16" s="45"/>
      <c r="I16" s="58" t="s">
        <v>16</v>
      </c>
      <c r="J16" s="67">
        <f ca="1">INDEX('Sch F Program Exp by Month'!$B$4:$N$11,MATCH($I16,'Sch F Program Exp by Month'!$B$4:$B$11,0),MATCH(J$5,'Sch F Program Exp by Month'!$B$4:$N$4,0))</f>
        <v>566.66666666666663</v>
      </c>
      <c r="K16" s="67">
        <f ca="1">INDEX('Sch F Program Exp by Month'!$B$4:$N$11,MATCH($I16,'Sch F Program Exp by Month'!$B$4:$B$11,0),MATCH(K$5,'Sch F Program Exp by Month'!$B$4:$N$4,0))</f>
        <v>566.66666666666663</v>
      </c>
      <c r="L16" s="67">
        <f ca="1">INDEX('Sch F Program Exp by Month'!$B$4:$N$11,MATCH($I16,'Sch F Program Exp by Month'!$B$4:$B$11,0),MATCH(L$5,'Sch F Program Exp by Month'!$B$4:$N$4,0))</f>
        <v>700</v>
      </c>
      <c r="M16" s="67">
        <f ca="1">INDEX('Sch F Program Exp by Month'!$B$4:$N$11,MATCH($I16,'Sch F Program Exp by Month'!$B$4:$B$11,0),MATCH(M$5,'Sch F Program Exp by Month'!$B$4:$N$4,0))</f>
        <v>550</v>
      </c>
      <c r="N16" s="67">
        <f ca="1">INDEX('Sch F Program Exp by Month'!$B$4:$N$11,MATCH($I16,'Sch F Program Exp by Month'!$B$4:$B$11,0),MATCH(N$5,'Sch F Program Exp by Month'!$B$4:$N$4,0))</f>
        <v>2050</v>
      </c>
      <c r="O16" s="67">
        <f ca="1">INDEX('Sch F Program Exp by Month'!$B$4:$N$11,MATCH($I16,'Sch F Program Exp by Month'!$B$4:$B$11,0),MATCH(O$5,'Sch F Program Exp by Month'!$B$4:$N$4,0))</f>
        <v>2200</v>
      </c>
      <c r="P16" s="67">
        <f ca="1">INDEX('Sch F Program Exp by Month'!$B$4:$N$11,MATCH($I16,'Sch F Program Exp by Month'!$B$4:$B$11,0),MATCH(P$5,'Sch F Program Exp by Month'!$B$4:$N$4,0))</f>
        <v>516.66666666666663</v>
      </c>
      <c r="Q16" s="67">
        <f ca="1">INDEX('Sch F Program Exp by Month'!$B$4:$N$11,MATCH($I16,'Sch F Program Exp by Month'!$B$4:$B$11,0),MATCH(Q$5,'Sch F Program Exp by Month'!$B$4:$N$4,0))</f>
        <v>611.66666666666663</v>
      </c>
      <c r="R16" s="67">
        <f ca="1">INDEX('Sch F Program Exp by Month'!$B$4:$N$11,MATCH($I16,'Sch F Program Exp by Month'!$B$4:$B$11,0),MATCH(R$5,'Sch F Program Exp by Month'!$B$4:$N$4,0))</f>
        <v>611.66666666666663</v>
      </c>
      <c r="S16" s="67">
        <f ca="1">INDEX('Sch F Program Exp by Month'!$B$4:$N$11,MATCH($I16,'Sch F Program Exp by Month'!$B$4:$B$11,0),MATCH(S$5,'Sch F Program Exp by Month'!$B$4:$N$4,0))</f>
        <v>0</v>
      </c>
      <c r="T16" s="67">
        <f ca="1">INDEX('Sch F Program Exp by Month'!$B$4:$N$11,MATCH($I16,'Sch F Program Exp by Month'!$B$4:$B$11,0),MATCH(T$5,'Sch F Program Exp by Month'!$B$4:$N$4,0))</f>
        <v>400</v>
      </c>
      <c r="U16" s="67">
        <f ca="1">INDEX('Sch F Program Exp by Month'!$B$4:$N$11,MATCH($I16,'Sch F Program Exp by Month'!$B$4:$B$11,0),MATCH(U$5,'Sch F Program Exp by Month'!$B$4:$N$4,0))</f>
        <v>566.66666666666663</v>
      </c>
      <c r="V16" s="60">
        <f t="shared" ref="V16:V26" ca="1" si="2">SUM(J16:U16)</f>
        <v>9340</v>
      </c>
      <c r="X16" s="395">
        <f ca="1">+V16-'Sch F Program Exp by Month'!O6</f>
        <v>0</v>
      </c>
    </row>
    <row r="17" spans="1:26" s="21" customFormat="1" ht="12" x14ac:dyDescent="0.2">
      <c r="A17" s="43"/>
      <c r="B17" s="43"/>
      <c r="C17" s="43"/>
      <c r="D17" s="43"/>
      <c r="E17" s="43" t="s">
        <v>17</v>
      </c>
      <c r="F17" s="43"/>
      <c r="G17" s="44"/>
      <c r="H17" s="44"/>
      <c r="I17" s="422" t="s">
        <v>18</v>
      </c>
      <c r="J17" s="71">
        <f ca="1">INDEX('Sch F Program Exp by Month'!$B$4:$N$11,MATCH($I17,'Sch F Program Exp by Month'!$B$4:$B$11,0),MATCH(J$5,'Sch F Program Exp by Month'!$B$4:$N$4,0))</f>
        <v>0</v>
      </c>
      <c r="K17" s="71">
        <f ca="1">INDEX('Sch F Program Exp by Month'!$B$4:$N$11,MATCH($I17,'Sch F Program Exp by Month'!$B$4:$B$11,0),MATCH(K$5,'Sch F Program Exp by Month'!$B$4:$N$4,0))</f>
        <v>1800</v>
      </c>
      <c r="L17" s="71">
        <f ca="1">INDEX('Sch F Program Exp by Month'!$B$4:$N$11,MATCH($I17,'Sch F Program Exp by Month'!$B$4:$B$11,0),MATCH(L$5,'Sch F Program Exp by Month'!$B$4:$N$4,0))</f>
        <v>1000</v>
      </c>
      <c r="M17" s="71">
        <f ca="1">INDEX('Sch F Program Exp by Month'!$B$4:$N$11,MATCH($I17,'Sch F Program Exp by Month'!$B$4:$B$11,0),MATCH(M$5,'Sch F Program Exp by Month'!$B$4:$N$4,0))</f>
        <v>4472</v>
      </c>
      <c r="N17" s="71">
        <f ca="1">INDEX('Sch F Program Exp by Month'!$B$4:$N$11,MATCH($I17,'Sch F Program Exp by Month'!$B$4:$B$11,0),MATCH(N$5,'Sch F Program Exp by Month'!$B$4:$N$4,0))</f>
        <v>3600</v>
      </c>
      <c r="O17" s="71">
        <f ca="1">INDEX('Sch F Program Exp by Month'!$B$4:$N$11,MATCH($I17,'Sch F Program Exp by Month'!$B$4:$B$11,0),MATCH(O$5,'Sch F Program Exp by Month'!$B$4:$N$4,0))</f>
        <v>7575</v>
      </c>
      <c r="P17" s="71">
        <f ca="1">INDEX('Sch F Program Exp by Month'!$B$4:$N$11,MATCH($I17,'Sch F Program Exp by Month'!$B$4:$B$11,0),MATCH(P$5,'Sch F Program Exp by Month'!$B$4:$N$4,0))</f>
        <v>1500</v>
      </c>
      <c r="Q17" s="71">
        <f ca="1">INDEX('Sch F Program Exp by Month'!$B$4:$N$11,MATCH($I17,'Sch F Program Exp by Month'!$B$4:$B$11,0),MATCH(Q$5,'Sch F Program Exp by Month'!$B$4:$N$4,0))</f>
        <v>598.5</v>
      </c>
      <c r="R17" s="71">
        <f ca="1">INDEX('Sch F Program Exp by Month'!$B$4:$N$11,MATCH($I17,'Sch F Program Exp by Month'!$B$4:$B$11,0),MATCH(R$5,'Sch F Program Exp by Month'!$B$4:$N$4,0))</f>
        <v>0</v>
      </c>
      <c r="S17" s="71">
        <f ca="1">INDEX('Sch F Program Exp by Month'!$B$4:$N$11,MATCH($I17,'Sch F Program Exp by Month'!$B$4:$B$11,0),MATCH(S$5,'Sch F Program Exp by Month'!$B$4:$N$4,0))</f>
        <v>0</v>
      </c>
      <c r="T17" s="71">
        <f ca="1">INDEX('Sch F Program Exp by Month'!$B$4:$N$11,MATCH($I17,'Sch F Program Exp by Month'!$B$4:$B$11,0),MATCH(T$5,'Sch F Program Exp by Month'!$B$4:$N$4,0))</f>
        <v>500</v>
      </c>
      <c r="U17" s="71">
        <f ca="1">INDEX('Sch F Program Exp by Month'!$B$4:$N$11,MATCH($I17,'Sch F Program Exp by Month'!$B$4:$B$11,0),MATCH(U$5,'Sch F Program Exp by Month'!$B$4:$N$4,0))</f>
        <v>0</v>
      </c>
      <c r="V17" s="76">
        <f t="shared" ca="1" si="2"/>
        <v>21045.5</v>
      </c>
      <c r="X17" s="396">
        <f ca="1">+V17-'Sch F Program Exp by Month'!O7</f>
        <v>0</v>
      </c>
    </row>
    <row r="18" spans="1:26" s="21" customFormat="1" ht="12.75" thickBot="1" x14ac:dyDescent="0.25">
      <c r="A18" s="43"/>
      <c r="B18" s="43"/>
      <c r="C18" s="43"/>
      <c r="D18" s="43"/>
      <c r="E18" s="43" t="s">
        <v>19</v>
      </c>
      <c r="F18" s="43"/>
      <c r="G18" s="45"/>
      <c r="H18" s="45"/>
      <c r="I18" s="58" t="s">
        <v>20</v>
      </c>
      <c r="J18" s="67">
        <f ca="1">INDEX('Sch F Program Exp by Month'!$B$4:$N$11,MATCH($I18,'Sch F Program Exp by Month'!$B$4:$B$11,0),MATCH(J$5,'Sch F Program Exp by Month'!$B$4:$N$4,0))</f>
        <v>0</v>
      </c>
      <c r="K18" s="67">
        <f ca="1">INDEX('Sch F Program Exp by Month'!$B$4:$N$11,MATCH($I18,'Sch F Program Exp by Month'!$B$4:$B$11,0),MATCH(K$5,'Sch F Program Exp by Month'!$B$4:$N$4,0))</f>
        <v>900</v>
      </c>
      <c r="L18" s="67">
        <f ca="1">INDEX('Sch F Program Exp by Month'!$B$4:$N$11,MATCH($I18,'Sch F Program Exp by Month'!$B$4:$B$11,0),MATCH(L$5,'Sch F Program Exp by Month'!$B$4:$N$4,0))</f>
        <v>0</v>
      </c>
      <c r="M18" s="67">
        <f ca="1">INDEX('Sch F Program Exp by Month'!$B$4:$N$11,MATCH($I18,'Sch F Program Exp by Month'!$B$4:$B$11,0),MATCH(M$5,'Sch F Program Exp by Month'!$B$4:$N$4,0))</f>
        <v>0</v>
      </c>
      <c r="N18" s="67">
        <f ca="1">INDEX('Sch F Program Exp by Month'!$B$4:$N$11,MATCH($I18,'Sch F Program Exp by Month'!$B$4:$B$11,0),MATCH(N$5,'Sch F Program Exp by Month'!$B$4:$N$4,0))</f>
        <v>500</v>
      </c>
      <c r="O18" s="67">
        <f ca="1">INDEX('Sch F Program Exp by Month'!$B$4:$N$11,MATCH($I18,'Sch F Program Exp by Month'!$B$4:$B$11,0),MATCH(O$5,'Sch F Program Exp by Month'!$B$4:$N$4,0))</f>
        <v>0</v>
      </c>
      <c r="P18" s="67">
        <f ca="1">INDEX('Sch F Program Exp by Month'!$B$4:$N$11,MATCH($I18,'Sch F Program Exp by Month'!$B$4:$B$11,0),MATCH(P$5,'Sch F Program Exp by Month'!$B$4:$N$4,0))</f>
        <v>600</v>
      </c>
      <c r="Q18" s="67">
        <f ca="1">INDEX('Sch F Program Exp by Month'!$B$4:$N$11,MATCH($I18,'Sch F Program Exp by Month'!$B$4:$B$11,0),MATCH(Q$5,'Sch F Program Exp by Month'!$B$4:$N$4,0))</f>
        <v>365</v>
      </c>
      <c r="R18" s="67">
        <f ca="1">INDEX('Sch F Program Exp by Month'!$B$4:$N$11,MATCH($I18,'Sch F Program Exp by Month'!$B$4:$B$11,0),MATCH(R$5,'Sch F Program Exp by Month'!$B$4:$N$4,0))</f>
        <v>0</v>
      </c>
      <c r="S18" s="67">
        <f ca="1">INDEX('Sch F Program Exp by Month'!$B$4:$N$11,MATCH($I18,'Sch F Program Exp by Month'!$B$4:$B$11,0),MATCH(S$5,'Sch F Program Exp by Month'!$B$4:$N$4,0))</f>
        <v>0</v>
      </c>
      <c r="T18" s="67">
        <f ca="1">INDEX('Sch F Program Exp by Month'!$B$4:$N$11,MATCH($I18,'Sch F Program Exp by Month'!$B$4:$B$11,0),MATCH(T$5,'Sch F Program Exp by Month'!$B$4:$N$4,0))</f>
        <v>0</v>
      </c>
      <c r="U18" s="67">
        <f ca="1">INDEX('Sch F Program Exp by Month'!$B$4:$N$11,MATCH($I18,'Sch F Program Exp by Month'!$B$4:$B$11,0),MATCH(U$5,'Sch F Program Exp by Month'!$B$4:$N$4,0))</f>
        <v>0</v>
      </c>
      <c r="V18" s="60">
        <f t="shared" ca="1" si="2"/>
        <v>2365</v>
      </c>
      <c r="X18" s="394">
        <f ca="1">+V18-'Sch F Program Exp by Month'!O8</f>
        <v>0</v>
      </c>
    </row>
    <row r="19" spans="1:26" s="21" customFormat="1" ht="12" x14ac:dyDescent="0.2">
      <c r="A19" s="22"/>
      <c r="B19" s="22"/>
      <c r="C19" s="22"/>
      <c r="D19" s="22" t="s">
        <v>21</v>
      </c>
      <c r="E19" s="22"/>
      <c r="F19" s="22"/>
      <c r="G19" s="44"/>
      <c r="H19" s="44"/>
      <c r="I19" s="61" t="s">
        <v>22</v>
      </c>
      <c r="J19" s="68">
        <f t="shared" ref="J19:U19" ca="1" si="3">SUM(J16:J18)</f>
        <v>566.66666666666663</v>
      </c>
      <c r="K19" s="68">
        <f t="shared" ca="1" si="3"/>
        <v>3266.6666666666665</v>
      </c>
      <c r="L19" s="68">
        <f t="shared" ca="1" si="3"/>
        <v>1700</v>
      </c>
      <c r="M19" s="68">
        <f t="shared" ca="1" si="3"/>
        <v>5022</v>
      </c>
      <c r="N19" s="68">
        <f t="shared" ca="1" si="3"/>
        <v>6150</v>
      </c>
      <c r="O19" s="68">
        <f t="shared" ca="1" si="3"/>
        <v>9775</v>
      </c>
      <c r="P19" s="68">
        <f t="shared" ca="1" si="3"/>
        <v>2616.6666666666665</v>
      </c>
      <c r="Q19" s="68">
        <f t="shared" ca="1" si="3"/>
        <v>1575.1666666666665</v>
      </c>
      <c r="R19" s="68">
        <f t="shared" ca="1" si="3"/>
        <v>611.66666666666663</v>
      </c>
      <c r="S19" s="68">
        <f t="shared" ca="1" si="3"/>
        <v>0</v>
      </c>
      <c r="T19" s="68">
        <f t="shared" ca="1" si="3"/>
        <v>900</v>
      </c>
      <c r="U19" s="68">
        <f t="shared" ca="1" si="3"/>
        <v>566.66666666666663</v>
      </c>
      <c r="V19" s="63">
        <f t="shared" ca="1" si="2"/>
        <v>32750.500000000004</v>
      </c>
    </row>
    <row r="20" spans="1:26" s="21" customFormat="1" ht="12" x14ac:dyDescent="0.2">
      <c r="A20" s="22"/>
      <c r="B20" s="22"/>
      <c r="C20" s="22"/>
      <c r="D20" s="22"/>
      <c r="E20" s="22"/>
      <c r="F20" s="22"/>
      <c r="G20" s="44"/>
      <c r="H20" s="44"/>
      <c r="I20" s="62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3"/>
    </row>
    <row r="21" spans="1:26" s="21" customFormat="1" ht="12.75" thickBot="1" x14ac:dyDescent="0.25">
      <c r="A21" s="22"/>
      <c r="B21" s="22"/>
      <c r="C21" s="22"/>
      <c r="D21" s="22"/>
      <c r="E21" s="22"/>
      <c r="F21" s="22"/>
      <c r="G21" s="85"/>
      <c r="H21" s="86" t="s">
        <v>23</v>
      </c>
      <c r="I21" s="42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70"/>
    </row>
    <row r="22" spans="1:26" s="21" customFormat="1" ht="12.75" thickBot="1" x14ac:dyDescent="0.25">
      <c r="A22" s="43"/>
      <c r="B22" s="43"/>
      <c r="C22" s="43"/>
      <c r="D22" s="43" t="s">
        <v>24</v>
      </c>
      <c r="E22" s="43"/>
      <c r="F22" s="43"/>
      <c r="G22" s="45"/>
      <c r="H22" s="45"/>
      <c r="I22" s="58" t="s">
        <v>24</v>
      </c>
      <c r="J22" s="67">
        <f ca="1">INDEX('Sch F Program Exp by Month'!$B$4:$N$11,MATCH($I22,'Sch F Program Exp by Month'!$B$4:$B$11,0),MATCH(J$5,'Sch F Program Exp by Month'!$B$4:$N$4,0))</f>
        <v>0</v>
      </c>
      <c r="K22" s="67">
        <f ca="1">INDEX('Sch F Program Exp by Month'!$B$4:$N$11,MATCH($I22,'Sch F Program Exp by Month'!$B$4:$B$11,0),MATCH(K$5,'Sch F Program Exp by Month'!$B$4:$N$4,0))</f>
        <v>0</v>
      </c>
      <c r="L22" s="67">
        <f ca="1">INDEX('Sch F Program Exp by Month'!$B$4:$N$11,MATCH($I22,'Sch F Program Exp by Month'!$B$4:$B$11,0),MATCH(L$5,'Sch F Program Exp by Month'!$B$4:$N$4,0))</f>
        <v>840</v>
      </c>
      <c r="M22" s="67">
        <f ca="1">INDEX('Sch F Program Exp by Month'!$B$4:$N$11,MATCH($I22,'Sch F Program Exp by Month'!$B$4:$B$11,0),MATCH(M$5,'Sch F Program Exp by Month'!$B$4:$N$4,0))</f>
        <v>2880</v>
      </c>
      <c r="N22" s="67">
        <f ca="1">INDEX('Sch F Program Exp by Month'!$B$4:$N$11,MATCH($I22,'Sch F Program Exp by Month'!$B$4:$B$11,0),MATCH(N$5,'Sch F Program Exp by Month'!$B$4:$N$4,0))</f>
        <v>6400</v>
      </c>
      <c r="O22" s="67">
        <f ca="1">INDEX('Sch F Program Exp by Month'!$B$4:$N$11,MATCH($I22,'Sch F Program Exp by Month'!$B$4:$B$11,0),MATCH(O$5,'Sch F Program Exp by Month'!$B$4:$N$4,0))</f>
        <v>1584.81</v>
      </c>
      <c r="P22" s="67">
        <f ca="1">INDEX('Sch F Program Exp by Month'!$B$4:$N$11,MATCH($I22,'Sch F Program Exp by Month'!$B$4:$B$11,0),MATCH(P$5,'Sch F Program Exp by Month'!$B$4:$N$4,0))</f>
        <v>2338</v>
      </c>
      <c r="Q22" s="67">
        <f ca="1">INDEX('Sch F Program Exp by Month'!$B$4:$N$11,MATCH($I22,'Sch F Program Exp by Month'!$B$4:$B$11,0),MATCH(Q$5,'Sch F Program Exp by Month'!$B$4:$N$4,0))</f>
        <v>722</v>
      </c>
      <c r="R22" s="67">
        <f ca="1">INDEX('Sch F Program Exp by Month'!$B$4:$N$11,MATCH($I22,'Sch F Program Exp by Month'!$B$4:$B$11,0),MATCH(R$5,'Sch F Program Exp by Month'!$B$4:$N$4,0))</f>
        <v>0</v>
      </c>
      <c r="S22" s="67">
        <f ca="1">INDEX('Sch F Program Exp by Month'!$B$4:$N$11,MATCH($I22,'Sch F Program Exp by Month'!$B$4:$B$11,0),MATCH(S$5,'Sch F Program Exp by Month'!$B$4:$N$4,0))</f>
        <v>0</v>
      </c>
      <c r="T22" s="67">
        <f ca="1">INDEX('Sch F Program Exp by Month'!$B$4:$N$11,MATCH($I22,'Sch F Program Exp by Month'!$B$4:$B$11,0),MATCH(T$5,'Sch F Program Exp by Month'!$B$4:$N$4,0))</f>
        <v>640</v>
      </c>
      <c r="U22" s="67">
        <f ca="1">INDEX('Sch F Program Exp by Month'!$B$4:$N$11,MATCH($I22,'Sch F Program Exp by Month'!$B$4:$B$11,0),MATCH(U$5,'Sch F Program Exp by Month'!$B$4:$N$4,0))</f>
        <v>7000</v>
      </c>
      <c r="V22" s="60">
        <f t="shared" ca="1" si="2"/>
        <v>22404.809999999998</v>
      </c>
      <c r="X22" s="397">
        <f ca="1">+V22-'Sch F Program Exp by Month'!O9</f>
        <v>0</v>
      </c>
    </row>
    <row r="23" spans="1:26" s="21" customFormat="1" ht="15.75" thickBot="1" x14ac:dyDescent="0.3">
      <c r="A23" s="43"/>
      <c r="B23" s="43"/>
      <c r="C23" s="43"/>
      <c r="D23" s="43" t="s">
        <v>25</v>
      </c>
      <c r="E23" s="43"/>
      <c r="F23" s="43"/>
      <c r="G23" s="44"/>
      <c r="H23" s="44"/>
      <c r="I23" s="54" t="s">
        <v>26</v>
      </c>
      <c r="J23" s="55">
        <f>'SCH A Expense Schedules'!B30</f>
        <v>0</v>
      </c>
      <c r="K23" s="55">
        <f>'SCH A Expense Schedules'!C30</f>
        <v>0</v>
      </c>
      <c r="L23" s="55">
        <f>'SCH A Expense Schedules'!D30</f>
        <v>0</v>
      </c>
      <c r="M23" s="55">
        <f>'SCH A Expense Schedules'!E30</f>
        <v>0</v>
      </c>
      <c r="N23" s="55">
        <f>'SCH A Expense Schedules'!F30</f>
        <v>0</v>
      </c>
      <c r="O23" s="55">
        <f>'SCH A Expense Schedules'!G30</f>
        <v>0</v>
      </c>
      <c r="P23" s="55">
        <f>'SCH A Expense Schedules'!H30</f>
        <v>0</v>
      </c>
      <c r="Q23" s="55">
        <f>'SCH A Expense Schedules'!I30</f>
        <v>0</v>
      </c>
      <c r="R23" s="55">
        <f>'SCH A Expense Schedules'!J30</f>
        <v>0</v>
      </c>
      <c r="S23" s="55">
        <f>'SCH A Expense Schedules'!K30</f>
        <v>0</v>
      </c>
      <c r="T23" s="55">
        <f>'SCH A Expense Schedules'!L30</f>
        <v>0</v>
      </c>
      <c r="U23" s="55">
        <f>'SCH A Expense Schedules'!M30</f>
        <v>0</v>
      </c>
      <c r="V23" s="56">
        <f t="shared" si="2"/>
        <v>0</v>
      </c>
      <c r="X23" s="397">
        <f>+V23-'SCH A Expense Schedules'!N30</f>
        <v>0</v>
      </c>
      <c r="Y23"/>
      <c r="Z23"/>
    </row>
    <row r="24" spans="1:26" s="21" customFormat="1" ht="12.75" thickBot="1" x14ac:dyDescent="0.25">
      <c r="A24" s="43"/>
      <c r="B24" s="43"/>
      <c r="C24" s="43"/>
      <c r="D24" s="43" t="s">
        <v>27</v>
      </c>
      <c r="E24" s="43"/>
      <c r="F24" s="43"/>
      <c r="G24" s="45"/>
      <c r="H24" s="45"/>
      <c r="I24" s="58" t="s">
        <v>28</v>
      </c>
      <c r="J24" s="67">
        <f>+'SCH A Expense Schedules'!B36</f>
        <v>69</v>
      </c>
      <c r="K24" s="67">
        <f>+'SCH A Expense Schedules'!C36</f>
        <v>69</v>
      </c>
      <c r="L24" s="67">
        <f>+'SCH A Expense Schedules'!D36</f>
        <v>69</v>
      </c>
      <c r="M24" s="67">
        <f>+'SCH A Expense Schedules'!E36</f>
        <v>69</v>
      </c>
      <c r="N24" s="67">
        <f>+'SCH A Expense Schedules'!F36</f>
        <v>69</v>
      </c>
      <c r="O24" s="67">
        <f>+'SCH A Expense Schedules'!G36</f>
        <v>69</v>
      </c>
      <c r="P24" s="67">
        <f>+'SCH A Expense Schedules'!H36</f>
        <v>69</v>
      </c>
      <c r="Q24" s="67">
        <f>+'SCH A Expense Schedules'!I36</f>
        <v>69</v>
      </c>
      <c r="R24" s="67">
        <f>+'SCH A Expense Schedules'!J36</f>
        <v>69</v>
      </c>
      <c r="S24" s="67">
        <f>+'SCH A Expense Schedules'!K36</f>
        <v>69</v>
      </c>
      <c r="T24" s="67">
        <f>+'SCH A Expense Schedules'!L36</f>
        <v>69</v>
      </c>
      <c r="U24" s="67">
        <f>+'SCH A Expense Schedules'!M36</f>
        <v>69</v>
      </c>
      <c r="V24" s="60">
        <f t="shared" si="2"/>
        <v>828</v>
      </c>
      <c r="X24" s="397">
        <f>+V24-'SCH A Expense Schedules'!N36</f>
        <v>0</v>
      </c>
    </row>
    <row r="25" spans="1:26" s="21" customFormat="1" ht="12.75" thickBot="1" x14ac:dyDescent="0.25">
      <c r="A25" s="43"/>
      <c r="B25" s="43"/>
      <c r="C25" s="43"/>
      <c r="D25" s="43"/>
      <c r="E25" s="43"/>
      <c r="F25" s="43"/>
      <c r="G25" s="44"/>
      <c r="H25" s="44"/>
      <c r="I25" s="54" t="s">
        <v>29</v>
      </c>
      <c r="J25" s="71">
        <f>+'SCH A Expense Schedules'!B37</f>
        <v>200</v>
      </c>
      <c r="K25" s="71">
        <f>+'SCH A Expense Schedules'!C37</f>
        <v>200</v>
      </c>
      <c r="L25" s="71">
        <f>+'SCH A Expense Schedules'!D37</f>
        <v>200</v>
      </c>
      <c r="M25" s="71">
        <f>+'SCH A Expense Schedules'!E37</f>
        <v>200</v>
      </c>
      <c r="N25" s="71">
        <f>+'SCH A Expense Schedules'!F37</f>
        <v>200</v>
      </c>
      <c r="O25" s="71">
        <f>+'SCH A Expense Schedules'!G37</f>
        <v>200</v>
      </c>
      <c r="P25" s="71">
        <f>+'SCH A Expense Schedules'!H37</f>
        <v>200</v>
      </c>
      <c r="Q25" s="71">
        <f>+'SCH A Expense Schedules'!I37</f>
        <v>200</v>
      </c>
      <c r="R25" s="71">
        <f>+'SCH A Expense Schedules'!J37</f>
        <v>200</v>
      </c>
      <c r="S25" s="71">
        <f>+'SCH A Expense Schedules'!K37</f>
        <v>200</v>
      </c>
      <c r="T25" s="71">
        <f>+'SCH A Expense Schedules'!L37</f>
        <v>200</v>
      </c>
      <c r="U25" s="71">
        <f>+'SCH A Expense Schedules'!M37</f>
        <v>200</v>
      </c>
      <c r="V25" s="56">
        <f t="shared" si="2"/>
        <v>2400</v>
      </c>
      <c r="X25" s="397">
        <f>+V25-'SCH A Expense Schedules'!N37</f>
        <v>0</v>
      </c>
    </row>
    <row r="26" spans="1:26" s="21" customFormat="1" ht="12.75" thickBot="1" x14ac:dyDescent="0.25">
      <c r="A26" s="43"/>
      <c r="B26" s="43"/>
      <c r="C26" s="43"/>
      <c r="D26" s="43" t="s">
        <v>27</v>
      </c>
      <c r="E26" s="43"/>
      <c r="F26" s="43"/>
      <c r="G26" s="45"/>
      <c r="H26" s="45"/>
      <c r="I26" s="58" t="s">
        <v>30</v>
      </c>
      <c r="J26" s="67">
        <f ca="1">INDEX('Sch F Program Exp by Month'!$B$4:$N$11,MATCH($I26,'Sch F Program Exp by Month'!$B$4:$B$11,0),MATCH(J$5,'Sch F Program Exp by Month'!$B$4:$N$4,0))</f>
        <v>0</v>
      </c>
      <c r="K26" s="67">
        <f ca="1">INDEX('Sch F Program Exp by Month'!$B$4:$N$11,MATCH($I26,'Sch F Program Exp by Month'!$B$4:$B$11,0),MATCH(K$5,'Sch F Program Exp by Month'!$B$4:$N$4,0))</f>
        <v>0</v>
      </c>
      <c r="L26" s="67">
        <f ca="1">INDEX('Sch F Program Exp by Month'!$B$4:$N$11,MATCH($I26,'Sch F Program Exp by Month'!$B$4:$B$11,0),MATCH(L$5,'Sch F Program Exp by Month'!$B$4:$N$4,0))</f>
        <v>250</v>
      </c>
      <c r="M26" s="67">
        <f ca="1">INDEX('Sch F Program Exp by Month'!$B$4:$N$11,MATCH($I26,'Sch F Program Exp by Month'!$B$4:$B$11,0),MATCH(M$5,'Sch F Program Exp by Month'!$B$4:$N$4,0))</f>
        <v>1810</v>
      </c>
      <c r="N26" s="67">
        <f ca="1">INDEX('Sch F Program Exp by Month'!$B$4:$N$11,MATCH($I26,'Sch F Program Exp by Month'!$B$4:$B$11,0),MATCH(N$5,'Sch F Program Exp by Month'!$B$4:$N$4,0))</f>
        <v>5126</v>
      </c>
      <c r="O26" s="67">
        <f ca="1">INDEX('Sch F Program Exp by Month'!$B$4:$N$11,MATCH($I26,'Sch F Program Exp by Month'!$B$4:$B$11,0),MATCH(O$5,'Sch F Program Exp by Month'!$B$4:$N$4,0))</f>
        <v>850</v>
      </c>
      <c r="P26" s="67">
        <f ca="1">INDEX('Sch F Program Exp by Month'!$B$4:$N$11,MATCH($I26,'Sch F Program Exp by Month'!$B$4:$B$11,0),MATCH(P$5,'Sch F Program Exp by Month'!$B$4:$N$4,0))</f>
        <v>1400</v>
      </c>
      <c r="Q26" s="67">
        <f ca="1">INDEX('Sch F Program Exp by Month'!$B$4:$N$11,MATCH($I26,'Sch F Program Exp by Month'!$B$4:$B$11,0),MATCH(Q$5,'Sch F Program Exp by Month'!$B$4:$N$4,0))</f>
        <v>420</v>
      </c>
      <c r="R26" s="67">
        <f ca="1">INDEX('Sch F Program Exp by Month'!$B$4:$N$11,MATCH($I26,'Sch F Program Exp by Month'!$B$4:$B$11,0),MATCH(R$5,'Sch F Program Exp by Month'!$B$4:$N$4,0))</f>
        <v>0</v>
      </c>
      <c r="S26" s="67">
        <f ca="1">INDEX('Sch F Program Exp by Month'!$B$4:$N$11,MATCH($I26,'Sch F Program Exp by Month'!$B$4:$B$11,0),MATCH(S$5,'Sch F Program Exp by Month'!$B$4:$N$4,0))</f>
        <v>0</v>
      </c>
      <c r="T26" s="67">
        <f ca="1">INDEX('Sch F Program Exp by Month'!$B$4:$N$11,MATCH($I26,'Sch F Program Exp by Month'!$B$4:$B$11,0),MATCH(T$5,'Sch F Program Exp by Month'!$B$4:$N$4,0))</f>
        <v>0</v>
      </c>
      <c r="U26" s="67">
        <f ca="1">INDEX('Sch F Program Exp by Month'!$B$4:$N$11,MATCH($I26,'Sch F Program Exp by Month'!$B$4:$B$11,0),MATCH(U$5,'Sch F Program Exp by Month'!$B$4:$N$4,0))</f>
        <v>1450</v>
      </c>
      <c r="V26" s="60">
        <f t="shared" ca="1" si="2"/>
        <v>11306</v>
      </c>
      <c r="X26" s="397">
        <f ca="1">+V26-'Sch F Program Exp by Month'!O10</f>
        <v>0</v>
      </c>
    </row>
    <row r="27" spans="1:26" s="27" customFormat="1" ht="12" x14ac:dyDescent="0.2">
      <c r="A27" s="43"/>
      <c r="B27" s="43"/>
      <c r="C27" s="43"/>
      <c r="D27" s="43"/>
      <c r="E27" s="43"/>
      <c r="F27" s="43"/>
      <c r="G27" s="44"/>
      <c r="H27" s="44"/>
      <c r="I27" s="61" t="s">
        <v>31</v>
      </c>
      <c r="J27" s="56">
        <f ca="1">SUM(J22:J26)</f>
        <v>269</v>
      </c>
      <c r="K27" s="56">
        <f t="shared" ref="K27:V27" ca="1" si="4">SUM(K22:K26)</f>
        <v>269</v>
      </c>
      <c r="L27" s="56">
        <f t="shared" ca="1" si="4"/>
        <v>1359</v>
      </c>
      <c r="M27" s="56">
        <f t="shared" ca="1" si="4"/>
        <v>4959</v>
      </c>
      <c r="N27" s="56">
        <f t="shared" ca="1" si="4"/>
        <v>11795</v>
      </c>
      <c r="O27" s="56">
        <f t="shared" ca="1" si="4"/>
        <v>2703.81</v>
      </c>
      <c r="P27" s="56">
        <f t="shared" ca="1" si="4"/>
        <v>4007</v>
      </c>
      <c r="Q27" s="56">
        <f t="shared" ca="1" si="4"/>
        <v>1411</v>
      </c>
      <c r="R27" s="56">
        <f t="shared" ca="1" si="4"/>
        <v>269</v>
      </c>
      <c r="S27" s="56">
        <f t="shared" ca="1" si="4"/>
        <v>269</v>
      </c>
      <c r="T27" s="56">
        <f t="shared" ca="1" si="4"/>
        <v>909</v>
      </c>
      <c r="U27" s="56">
        <f t="shared" ca="1" si="4"/>
        <v>8719</v>
      </c>
      <c r="V27" s="56">
        <f t="shared" ca="1" si="4"/>
        <v>36938.81</v>
      </c>
      <c r="W27" s="175"/>
      <c r="X27" s="72"/>
    </row>
    <row r="28" spans="1:26" s="21" customFormat="1" ht="12" x14ac:dyDescent="0.2">
      <c r="A28" s="43"/>
      <c r="B28" s="43"/>
      <c r="C28" s="43"/>
      <c r="D28" s="43"/>
      <c r="E28" s="43"/>
      <c r="F28" s="43"/>
      <c r="G28" s="44"/>
      <c r="H28" s="209" t="s">
        <v>32</v>
      </c>
      <c r="I28" s="209"/>
      <c r="J28" s="56">
        <f t="shared" ref="J28:V28" ca="1" si="5">J27+J19</f>
        <v>835.66666666666663</v>
      </c>
      <c r="K28" s="56">
        <f t="shared" ca="1" si="5"/>
        <v>3535.6666666666665</v>
      </c>
      <c r="L28" s="56">
        <f t="shared" ca="1" si="5"/>
        <v>3059</v>
      </c>
      <c r="M28" s="56">
        <f t="shared" ca="1" si="5"/>
        <v>9981</v>
      </c>
      <c r="N28" s="56">
        <f t="shared" ca="1" si="5"/>
        <v>17945</v>
      </c>
      <c r="O28" s="56">
        <f t="shared" ca="1" si="5"/>
        <v>12478.81</v>
      </c>
      <c r="P28" s="56">
        <f t="shared" ca="1" si="5"/>
        <v>6623.6666666666661</v>
      </c>
      <c r="Q28" s="56">
        <f t="shared" ca="1" si="5"/>
        <v>2986.1666666666665</v>
      </c>
      <c r="R28" s="56">
        <f t="shared" ca="1" si="5"/>
        <v>880.66666666666663</v>
      </c>
      <c r="S28" s="56">
        <f t="shared" ca="1" si="5"/>
        <v>269</v>
      </c>
      <c r="T28" s="56">
        <f t="shared" ca="1" si="5"/>
        <v>1809</v>
      </c>
      <c r="U28" s="56">
        <f t="shared" ca="1" si="5"/>
        <v>9285.6666666666661</v>
      </c>
      <c r="V28" s="56">
        <f t="shared" ca="1" si="5"/>
        <v>69689.31</v>
      </c>
    </row>
    <row r="29" spans="1:26" s="21" customFormat="1" ht="12" x14ac:dyDescent="0.2">
      <c r="A29" s="22"/>
      <c r="B29" s="22"/>
      <c r="C29" s="22"/>
      <c r="D29" s="22"/>
      <c r="E29" s="22"/>
      <c r="F29" s="22"/>
      <c r="G29" s="44"/>
      <c r="H29" s="44"/>
      <c r="I29" s="23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</row>
    <row r="30" spans="1:26" s="21" customFormat="1" ht="12" x14ac:dyDescent="0.2">
      <c r="A30" s="22"/>
      <c r="B30" s="22"/>
      <c r="C30" s="22"/>
      <c r="D30" s="22"/>
      <c r="E30" s="22"/>
      <c r="F30" s="22"/>
      <c r="G30" s="48"/>
      <c r="H30" s="210" t="s">
        <v>33</v>
      </c>
      <c r="I30" s="210"/>
      <c r="J30" s="73">
        <f t="shared" ref="J30:V30" ca="1" si="6">J12-J28</f>
        <v>-835.66666666666663</v>
      </c>
      <c r="K30" s="73">
        <f t="shared" ca="1" si="6"/>
        <v>-3535.6666666666665</v>
      </c>
      <c r="L30" s="73">
        <f t="shared" ca="1" si="6"/>
        <v>-29.550315635169227</v>
      </c>
      <c r="M30" s="73">
        <f t="shared" ca="1" si="6"/>
        <v>479.73784661468744</v>
      </c>
      <c r="N30" s="73">
        <f t="shared" ca="1" si="6"/>
        <v>71.493113039301534</v>
      </c>
      <c r="O30" s="73">
        <f t="shared" ca="1" si="6"/>
        <v>-2063.2734661361537</v>
      </c>
      <c r="P30" s="73">
        <f t="shared" ca="1" si="6"/>
        <v>-1031.2063763233355</v>
      </c>
      <c r="Q30" s="73">
        <f t="shared" ca="1" si="6"/>
        <v>452.01829257278405</v>
      </c>
      <c r="R30" s="73">
        <f t="shared" ca="1" si="6"/>
        <v>-880.66666666666663</v>
      </c>
      <c r="S30" s="73">
        <f t="shared" ca="1" si="6"/>
        <v>-269</v>
      </c>
      <c r="T30" s="73">
        <f t="shared" ca="1" si="6"/>
        <v>-481.81251923064565</v>
      </c>
      <c r="U30" s="73">
        <f t="shared" ca="1" si="6"/>
        <v>1259.7034250985307</v>
      </c>
      <c r="V30" s="74">
        <f t="shared" ca="1" si="6"/>
        <v>-6863.8899999999994</v>
      </c>
    </row>
    <row r="31" spans="1:26" s="21" customFormat="1" ht="12" x14ac:dyDescent="0.2">
      <c r="A31" s="22"/>
      <c r="B31" s="22"/>
      <c r="C31" s="22"/>
      <c r="D31" s="22"/>
      <c r="E31" s="22"/>
      <c r="F31" s="22"/>
      <c r="G31" s="44"/>
      <c r="H31" s="44"/>
      <c r="I31" s="23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</row>
    <row r="32" spans="1:26" s="21" customFormat="1" ht="12" x14ac:dyDescent="0.2">
      <c r="A32" s="22"/>
      <c r="B32" s="22"/>
      <c r="C32" s="22"/>
      <c r="D32" s="22"/>
      <c r="E32" s="22"/>
      <c r="F32" s="22"/>
      <c r="G32" s="82" t="s">
        <v>34</v>
      </c>
      <c r="H32" s="41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</row>
    <row r="33" spans="1:26" s="21" customFormat="1" ht="12" x14ac:dyDescent="0.2">
      <c r="A33" s="22"/>
      <c r="B33" s="22"/>
      <c r="C33" s="22"/>
      <c r="D33" s="22"/>
      <c r="E33" s="22"/>
      <c r="F33" s="22"/>
      <c r="G33" s="44"/>
      <c r="H33" s="44"/>
      <c r="I33" s="23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</row>
    <row r="34" spans="1:26" s="21" customFormat="1" ht="12.75" thickBot="1" x14ac:dyDescent="0.25">
      <c r="A34" s="22"/>
      <c r="B34" s="22"/>
      <c r="C34" s="22" t="s">
        <v>35</v>
      </c>
      <c r="D34" s="22"/>
      <c r="E34" s="22"/>
      <c r="F34" s="22"/>
      <c r="G34" s="84" t="s">
        <v>35</v>
      </c>
      <c r="H34" s="84"/>
      <c r="I34" s="64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</row>
    <row r="35" spans="1:26" s="21" customFormat="1" ht="15.75" thickBot="1" x14ac:dyDescent="0.3">
      <c r="A35" s="43"/>
      <c r="B35" s="43"/>
      <c r="C35" s="43"/>
      <c r="D35" s="43" t="s">
        <v>36</v>
      </c>
      <c r="E35" s="43"/>
      <c r="F35" s="43"/>
      <c r="G35" s="44"/>
      <c r="H35" s="44"/>
      <c r="I35" s="54" t="s">
        <v>37</v>
      </c>
      <c r="J35" s="55">
        <f>+'Sch I Property Tax Income'!B4</f>
        <v>43784.391050063154</v>
      </c>
      <c r="K35" s="55">
        <f>+'Sch I Property Tax Income'!C4</f>
        <v>11243.670429000689</v>
      </c>
      <c r="L35" s="55">
        <f>+'Sch I Property Tax Income'!D4</f>
        <v>2204.7206429762336</v>
      </c>
      <c r="M35" s="55">
        <f>+'Sch I Property Tax Income'!E4</f>
        <v>0</v>
      </c>
      <c r="N35" s="55">
        <f>+'Sch I Property Tax Income'!F4</f>
        <v>1703.0957011478606</v>
      </c>
      <c r="O35" s="55">
        <f>+'Sch I Property Tax Income'!G4</f>
        <v>4431.8014727122227</v>
      </c>
      <c r="P35" s="55">
        <f>+'Sch I Property Tax Income'!H4</f>
        <v>2074.0474624136473</v>
      </c>
      <c r="Q35" s="55">
        <f>+'Sch I Property Tax Income'!I4</f>
        <v>1340.0696606764434</v>
      </c>
      <c r="R35" s="55">
        <f>+'Sch I Property Tax Income'!J4</f>
        <v>0</v>
      </c>
      <c r="S35" s="55">
        <f>+'Sch I Property Tax Income'!K4</f>
        <v>4311.0626926738187</v>
      </c>
      <c r="T35" s="55">
        <f>+'Sch I Property Tax Income'!L4</f>
        <v>3652.7607319201902</v>
      </c>
      <c r="U35" s="55">
        <f>+'Sch I Property Tax Income'!M4</f>
        <v>106839.23015641575</v>
      </c>
      <c r="V35" s="56">
        <f>SUM(J35:U35)</f>
        <v>181584.85000000003</v>
      </c>
      <c r="X35" s="403">
        <f>+V35-'Sch I Property Tax Income'!N4</f>
        <v>0</v>
      </c>
      <c r="Y35"/>
      <c r="Z35"/>
    </row>
    <row r="36" spans="1:26" s="21" customFormat="1" ht="15.75" thickBot="1" x14ac:dyDescent="0.3">
      <c r="A36" s="43"/>
      <c r="B36" s="43"/>
      <c r="C36" s="43"/>
      <c r="D36" s="43"/>
      <c r="E36" s="43"/>
      <c r="F36" s="43"/>
      <c r="G36" s="45"/>
      <c r="H36" s="45"/>
      <c r="I36" s="58" t="s">
        <v>38</v>
      </c>
      <c r="J36" s="424">
        <v>0</v>
      </c>
      <c r="K36" s="424">
        <v>0</v>
      </c>
      <c r="L36" s="424">
        <v>0</v>
      </c>
      <c r="M36" s="424">
        <v>0</v>
      </c>
      <c r="N36" s="424">
        <v>0</v>
      </c>
      <c r="O36" s="424">
        <v>0</v>
      </c>
      <c r="P36" s="424">
        <v>0</v>
      </c>
      <c r="Q36" s="424">
        <v>0</v>
      </c>
      <c r="R36" s="424">
        <v>0</v>
      </c>
      <c r="S36" s="424">
        <v>0</v>
      </c>
      <c r="T36" s="424">
        <v>0</v>
      </c>
      <c r="U36" s="424">
        <v>0</v>
      </c>
      <c r="V36" s="425">
        <f>SUM(J36:U36)</f>
        <v>0</v>
      </c>
      <c r="X36"/>
      <c r="Y36"/>
      <c r="Z36"/>
    </row>
    <row r="37" spans="1:26" s="21" customFormat="1" ht="12.75" thickBot="1" x14ac:dyDescent="0.25">
      <c r="A37" s="43"/>
      <c r="B37" s="43"/>
      <c r="C37" s="43"/>
      <c r="D37" s="43" t="s">
        <v>39</v>
      </c>
      <c r="E37" s="43"/>
      <c r="F37" s="43"/>
      <c r="G37" s="44"/>
      <c r="H37" s="44"/>
      <c r="I37" s="54" t="s">
        <v>39</v>
      </c>
      <c r="J37" s="71">
        <f>+'Sch H Rap Tax Interest'!B7</f>
        <v>0</v>
      </c>
      <c r="K37" s="71">
        <f>+'Sch H Rap Tax Interest'!C7</f>
        <v>0</v>
      </c>
      <c r="L37" s="71">
        <f>+'Sch H Rap Tax Interest'!D7</f>
        <v>0</v>
      </c>
      <c r="M37" s="71">
        <f>+'Sch H Rap Tax Interest'!E7</f>
        <v>0</v>
      </c>
      <c r="N37" s="71">
        <f>+'Sch H Rap Tax Interest'!F7</f>
        <v>0</v>
      </c>
      <c r="O37" s="71">
        <f>+'Sch H Rap Tax Interest'!G7</f>
        <v>0</v>
      </c>
      <c r="P37" s="71">
        <f>+'Sch H Rap Tax Interest'!H7</f>
        <v>0</v>
      </c>
      <c r="Q37" s="71">
        <f>+'Sch H Rap Tax Interest'!I7</f>
        <v>0</v>
      </c>
      <c r="R37" s="71">
        <f>+'Sch H Rap Tax Interest'!J7</f>
        <v>0</v>
      </c>
      <c r="S37" s="71">
        <f>+'Sch H Rap Tax Interest'!K7</f>
        <v>0</v>
      </c>
      <c r="T37" s="71">
        <f>+'Sch H Rap Tax Interest'!L7</f>
        <v>0</v>
      </c>
      <c r="U37" s="71">
        <f>+'Sch H Rap Tax Interest'!M7</f>
        <v>0</v>
      </c>
      <c r="V37" s="76">
        <f t="shared" ref="V37" si="7">SUM(J37:U37)</f>
        <v>0</v>
      </c>
      <c r="X37" s="397">
        <f>+V37-'Sch H Rap Tax Interest'!N7</f>
        <v>0</v>
      </c>
    </row>
    <row r="38" spans="1:26" s="21" customFormat="1" ht="12" x14ac:dyDescent="0.2">
      <c r="A38" s="22"/>
      <c r="B38" s="22"/>
      <c r="C38" s="22" t="s">
        <v>40</v>
      </c>
      <c r="D38" s="22"/>
      <c r="E38" s="22"/>
      <c r="F38" s="22"/>
      <c r="G38" s="44"/>
      <c r="H38" s="44"/>
      <c r="I38" s="61" t="s">
        <v>41</v>
      </c>
      <c r="J38" s="68">
        <f t="shared" ref="J38:U38" si="8">ROUND(SUM(J34:J37),5)</f>
        <v>43784.391049999998</v>
      </c>
      <c r="K38" s="68">
        <f t="shared" si="8"/>
        <v>11243.67043</v>
      </c>
      <c r="L38" s="68">
        <f t="shared" si="8"/>
        <v>2204.72064</v>
      </c>
      <c r="M38" s="68">
        <f t="shared" si="8"/>
        <v>0</v>
      </c>
      <c r="N38" s="68">
        <f t="shared" si="8"/>
        <v>1703.0957000000001</v>
      </c>
      <c r="O38" s="68">
        <f t="shared" si="8"/>
        <v>4431.8014700000003</v>
      </c>
      <c r="P38" s="68">
        <f t="shared" si="8"/>
        <v>2074.0474599999998</v>
      </c>
      <c r="Q38" s="68">
        <f t="shared" si="8"/>
        <v>1340.0696600000001</v>
      </c>
      <c r="R38" s="68">
        <f t="shared" si="8"/>
        <v>0</v>
      </c>
      <c r="S38" s="68">
        <f t="shared" si="8"/>
        <v>4311.0626899999997</v>
      </c>
      <c r="T38" s="68">
        <f t="shared" si="8"/>
        <v>3652.76073</v>
      </c>
      <c r="U38" s="68">
        <f t="shared" si="8"/>
        <v>106839.23016000001</v>
      </c>
      <c r="V38" s="68">
        <f>ROUND(SUM(J38:U38),5)</f>
        <v>181584.84998999999</v>
      </c>
    </row>
    <row r="39" spans="1:26" s="21" customFormat="1" ht="12" x14ac:dyDescent="0.2">
      <c r="A39" s="22"/>
      <c r="B39" s="22"/>
      <c r="C39" s="22"/>
      <c r="D39" s="22"/>
      <c r="E39" s="22"/>
      <c r="F39" s="22"/>
      <c r="G39" s="84" t="s">
        <v>42</v>
      </c>
      <c r="H39" s="84"/>
      <c r="I39" s="64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</row>
    <row r="40" spans="1:26" s="21" customFormat="1" ht="12" x14ac:dyDescent="0.2">
      <c r="A40" s="22"/>
      <c r="B40" s="22"/>
      <c r="C40" s="22"/>
      <c r="D40" s="22"/>
      <c r="E40" s="22"/>
      <c r="F40" s="22"/>
      <c r="G40" s="44"/>
      <c r="H40" s="44"/>
      <c r="I40" s="23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</row>
    <row r="41" spans="1:26" s="21" customFormat="1" ht="12.75" thickBot="1" x14ac:dyDescent="0.25">
      <c r="A41" s="22"/>
      <c r="B41" s="22"/>
      <c r="C41" s="22"/>
      <c r="D41" s="22"/>
      <c r="E41" s="22"/>
      <c r="F41" s="22"/>
      <c r="G41" s="85"/>
      <c r="H41" s="85" t="s">
        <v>43</v>
      </c>
      <c r="I41" s="42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</row>
    <row r="42" spans="1:26" s="21" customFormat="1" ht="12.75" thickBot="1" x14ac:dyDescent="0.25">
      <c r="A42" s="43"/>
      <c r="B42" s="43"/>
      <c r="C42" s="43"/>
      <c r="D42" s="43"/>
      <c r="E42" s="43"/>
      <c r="F42" s="43"/>
      <c r="G42" s="45"/>
      <c r="H42" s="45"/>
      <c r="I42" s="58" t="s">
        <v>44</v>
      </c>
      <c r="J42" s="59">
        <f>'Sch D Employee Compensation'!$G$16/12</f>
        <v>12339.916666666666</v>
      </c>
      <c r="K42" s="59">
        <f>'Sch D Employee Compensation'!$G$16/12</f>
        <v>12339.916666666666</v>
      </c>
      <c r="L42" s="59">
        <f>'Sch D Employee Compensation'!$G$16/12</f>
        <v>12339.916666666666</v>
      </c>
      <c r="M42" s="59">
        <f>'Sch D Employee Compensation'!$G$16/12</f>
        <v>12339.916666666666</v>
      </c>
      <c r="N42" s="59">
        <f>'Sch D Employee Compensation'!$G$16/12</f>
        <v>12339.916666666666</v>
      </c>
      <c r="O42" s="59">
        <f>'Sch D Employee Compensation'!$G$16/12</f>
        <v>12339.916666666666</v>
      </c>
      <c r="P42" s="59">
        <f>'Sch D Employee Compensation'!$G$16/12</f>
        <v>12339.916666666666</v>
      </c>
      <c r="Q42" s="59">
        <f>'Sch D Employee Compensation'!$G$16/12</f>
        <v>12339.916666666666</v>
      </c>
      <c r="R42" s="59">
        <f>'Sch D Employee Compensation'!$G$16/12</f>
        <v>12339.916666666666</v>
      </c>
      <c r="S42" s="59">
        <f>'Sch D Employee Compensation'!$G$16/12</f>
        <v>12339.916666666666</v>
      </c>
      <c r="T42" s="59">
        <f>'Sch D Employee Compensation'!$G$16/12</f>
        <v>12339.916666666666</v>
      </c>
      <c r="U42" s="59">
        <f>'Sch D Employee Compensation'!$G$16/12</f>
        <v>12339.916666666666</v>
      </c>
      <c r="V42" s="60">
        <f t="shared" ref="V42:V45" si="9">SUM(J42:U42)</f>
        <v>148079</v>
      </c>
      <c r="X42" s="397">
        <f>+V42-'Sch D Employee Compensation'!G16</f>
        <v>0</v>
      </c>
    </row>
    <row r="43" spans="1:26" s="21" customFormat="1" ht="15.75" thickBot="1" x14ac:dyDescent="0.3">
      <c r="A43" s="43"/>
      <c r="B43" s="43"/>
      <c r="C43" s="43"/>
      <c r="D43" s="43"/>
      <c r="E43" s="43"/>
      <c r="F43" s="43"/>
      <c r="G43" s="44"/>
      <c r="H43" s="44"/>
      <c r="I43" s="54" t="s">
        <v>45</v>
      </c>
      <c r="J43" s="79">
        <f>+'Sch D Employee Compensation'!$G$20/12</f>
        <v>35</v>
      </c>
      <c r="K43" s="79">
        <f>+'Sch D Employee Compensation'!$G$20/12</f>
        <v>35</v>
      </c>
      <c r="L43" s="79">
        <f>+'Sch D Employee Compensation'!$G$20/12</f>
        <v>35</v>
      </c>
      <c r="M43" s="79">
        <f>+'Sch D Employee Compensation'!$G$20/12</f>
        <v>35</v>
      </c>
      <c r="N43" s="79">
        <f>+'Sch D Employee Compensation'!$G$20/12</f>
        <v>35</v>
      </c>
      <c r="O43" s="79">
        <f>+'Sch D Employee Compensation'!$G$20/12</f>
        <v>35</v>
      </c>
      <c r="P43" s="79">
        <f>+'Sch D Employee Compensation'!$G$20/12</f>
        <v>35</v>
      </c>
      <c r="Q43" s="79">
        <f>+'Sch D Employee Compensation'!$G$20/12</f>
        <v>35</v>
      </c>
      <c r="R43" s="79">
        <f>+'Sch D Employee Compensation'!$G$20/12</f>
        <v>35</v>
      </c>
      <c r="S43" s="79">
        <f>+'Sch D Employee Compensation'!$G$20/12</f>
        <v>35</v>
      </c>
      <c r="T43" s="79">
        <f>+'Sch D Employee Compensation'!$G$20/12</f>
        <v>35</v>
      </c>
      <c r="U43" s="79">
        <f>+'Sch D Employee Compensation'!$G$20/12</f>
        <v>35</v>
      </c>
      <c r="V43" s="56">
        <f t="shared" ref="V43" si="10">SUM(J43:U43)</f>
        <v>420</v>
      </c>
      <c r="X43" s="397">
        <f>+V43-'Sch D Employee Compensation'!G20</f>
        <v>0</v>
      </c>
      <c r="Y43"/>
      <c r="Z43"/>
    </row>
    <row r="44" spans="1:26" s="21" customFormat="1" ht="12.75" thickBot="1" x14ac:dyDescent="0.25">
      <c r="A44" s="43"/>
      <c r="B44" s="43"/>
      <c r="C44" s="43"/>
      <c r="D44" s="43"/>
      <c r="E44" s="43"/>
      <c r="F44" s="43"/>
      <c r="G44" s="45"/>
      <c r="H44" s="45"/>
      <c r="I44" s="58" t="s">
        <v>46</v>
      </c>
      <c r="J44" s="67">
        <f>+'Sch D Employee Compensation'!$G$18/12</f>
        <v>608.5575</v>
      </c>
      <c r="K44" s="67">
        <f>+'Sch D Employee Compensation'!$G$18/12</f>
        <v>608.5575</v>
      </c>
      <c r="L44" s="67">
        <f>+'Sch D Employee Compensation'!$G$18/12</f>
        <v>608.5575</v>
      </c>
      <c r="M44" s="67">
        <f>+'Sch D Employee Compensation'!$G$18/12</f>
        <v>608.5575</v>
      </c>
      <c r="N44" s="67">
        <f>+'Sch D Employee Compensation'!$G$18/12</f>
        <v>608.5575</v>
      </c>
      <c r="O44" s="67">
        <f>+'Sch D Employee Compensation'!$G$18/12</f>
        <v>608.5575</v>
      </c>
      <c r="P44" s="67">
        <f>+'Sch D Employee Compensation'!$G$18/12</f>
        <v>608.5575</v>
      </c>
      <c r="Q44" s="67">
        <f>+'Sch D Employee Compensation'!$G$18/12</f>
        <v>608.5575</v>
      </c>
      <c r="R44" s="67">
        <f>+'Sch D Employee Compensation'!$G$18/12</f>
        <v>608.5575</v>
      </c>
      <c r="S44" s="67">
        <f>+'Sch D Employee Compensation'!$G$18/12</f>
        <v>608.5575</v>
      </c>
      <c r="T44" s="67">
        <f>+'Sch D Employee Compensation'!$G$18/12</f>
        <v>608.5575</v>
      </c>
      <c r="U44" s="67">
        <f>+'Sch D Employee Compensation'!$G$18/12</f>
        <v>608.5575</v>
      </c>
      <c r="V44" s="60">
        <f t="shared" si="9"/>
        <v>7302.69</v>
      </c>
      <c r="X44" s="397">
        <f>+V44-'Sch D Employee Compensation'!G18</f>
        <v>0</v>
      </c>
    </row>
    <row r="45" spans="1:26" s="21" customFormat="1" ht="12" x14ac:dyDescent="0.2">
      <c r="A45" s="43"/>
      <c r="B45" s="43"/>
      <c r="C45" s="43"/>
      <c r="D45" s="43"/>
      <c r="E45" s="43"/>
      <c r="F45" s="43"/>
      <c r="G45" s="44"/>
      <c r="H45" s="44"/>
      <c r="I45" s="61" t="s">
        <v>47</v>
      </c>
      <c r="J45" s="80">
        <f>SUM(J42:J44)</f>
        <v>12983.474166666667</v>
      </c>
      <c r="K45" s="80">
        <f t="shared" ref="K45:U45" si="11">SUM(K42:K44)</f>
        <v>12983.474166666667</v>
      </c>
      <c r="L45" s="80">
        <f t="shared" si="11"/>
        <v>12983.474166666667</v>
      </c>
      <c r="M45" s="80">
        <f t="shared" si="11"/>
        <v>12983.474166666667</v>
      </c>
      <c r="N45" s="80">
        <f t="shared" si="11"/>
        <v>12983.474166666667</v>
      </c>
      <c r="O45" s="80">
        <f t="shared" si="11"/>
        <v>12983.474166666667</v>
      </c>
      <c r="P45" s="80">
        <f t="shared" si="11"/>
        <v>12983.474166666667</v>
      </c>
      <c r="Q45" s="80">
        <f t="shared" si="11"/>
        <v>12983.474166666667</v>
      </c>
      <c r="R45" s="80">
        <f t="shared" si="11"/>
        <v>12983.474166666667</v>
      </c>
      <c r="S45" s="80">
        <f t="shared" si="11"/>
        <v>12983.474166666667</v>
      </c>
      <c r="T45" s="80">
        <f t="shared" si="11"/>
        <v>12983.474166666667</v>
      </c>
      <c r="U45" s="80">
        <f t="shared" si="11"/>
        <v>12983.474166666667</v>
      </c>
      <c r="V45" s="56">
        <f t="shared" si="9"/>
        <v>155801.69</v>
      </c>
    </row>
    <row r="46" spans="1:26" s="21" customFormat="1" ht="12" x14ac:dyDescent="0.2">
      <c r="A46" s="22"/>
      <c r="B46" s="22"/>
      <c r="C46" s="22"/>
      <c r="D46" s="22"/>
      <c r="E46" s="22"/>
      <c r="F46" s="22"/>
      <c r="G46" s="44"/>
      <c r="H46" s="44"/>
      <c r="I46" s="62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3"/>
    </row>
    <row r="47" spans="1:26" s="21" customFormat="1" ht="12" x14ac:dyDescent="0.2">
      <c r="A47" s="22"/>
      <c r="B47" s="22"/>
      <c r="C47" s="22" t="s">
        <v>48</v>
      </c>
      <c r="D47" s="22"/>
      <c r="E47" s="22"/>
      <c r="F47" s="22"/>
      <c r="G47" s="84"/>
      <c r="H47" s="84" t="s">
        <v>49</v>
      </c>
      <c r="I47" s="64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</row>
    <row r="48" spans="1:26" s="21" customFormat="1" x14ac:dyDescent="0.25">
      <c r="A48" s="43"/>
      <c r="B48" s="43"/>
      <c r="C48" s="43"/>
      <c r="D48" s="43" t="s">
        <v>50</v>
      </c>
      <c r="E48" s="43"/>
      <c r="F48" s="43"/>
      <c r="G48" s="44"/>
      <c r="H48" s="44"/>
      <c r="I48" s="54" t="s">
        <v>50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6">
        <f t="shared" ref="V48:V55" si="12">SUM(J48:U48)</f>
        <v>0</v>
      </c>
      <c r="X48"/>
      <c r="Y48"/>
      <c r="Z48"/>
    </row>
    <row r="49" spans="1:29" s="21" customFormat="1" ht="15.75" thickBot="1" x14ac:dyDescent="0.3">
      <c r="A49" s="43"/>
      <c r="B49" s="43"/>
      <c r="C49" s="43"/>
      <c r="D49" s="43" t="s">
        <v>51</v>
      </c>
      <c r="E49" s="43"/>
      <c r="F49" s="43"/>
      <c r="G49" s="45"/>
      <c r="H49" s="45"/>
      <c r="I49" s="58" t="s">
        <v>52</v>
      </c>
      <c r="J49" s="67">
        <f>8000/12</f>
        <v>666.66666666666663</v>
      </c>
      <c r="K49" s="67">
        <f t="shared" ref="K49:U49" si="13">8000/12</f>
        <v>666.66666666666663</v>
      </c>
      <c r="L49" s="67">
        <f t="shared" si="13"/>
        <v>666.66666666666663</v>
      </c>
      <c r="M49" s="67">
        <f t="shared" si="13"/>
        <v>666.66666666666663</v>
      </c>
      <c r="N49" s="67">
        <f t="shared" si="13"/>
        <v>666.66666666666663</v>
      </c>
      <c r="O49" s="67">
        <f t="shared" si="13"/>
        <v>666.66666666666663</v>
      </c>
      <c r="P49" s="67">
        <f t="shared" si="13"/>
        <v>666.66666666666663</v>
      </c>
      <c r="Q49" s="67">
        <f t="shared" si="13"/>
        <v>666.66666666666663</v>
      </c>
      <c r="R49" s="67">
        <f t="shared" si="13"/>
        <v>666.66666666666663</v>
      </c>
      <c r="S49" s="67">
        <f t="shared" si="13"/>
        <v>666.66666666666663</v>
      </c>
      <c r="T49" s="67">
        <f t="shared" si="13"/>
        <v>666.66666666666663</v>
      </c>
      <c r="U49" s="67">
        <f t="shared" si="13"/>
        <v>666.66666666666663</v>
      </c>
      <c r="V49" s="60">
        <f t="shared" si="12"/>
        <v>8000.0000000000009</v>
      </c>
      <c r="X49"/>
      <c r="Y49"/>
      <c r="Z49"/>
    </row>
    <row r="50" spans="1:29" s="21" customFormat="1" ht="15.75" thickBot="1" x14ac:dyDescent="0.3">
      <c r="A50" s="43"/>
      <c r="B50" s="43"/>
      <c r="C50" s="43"/>
      <c r="D50" s="43" t="s">
        <v>53</v>
      </c>
      <c r="E50" s="43"/>
      <c r="F50" s="43"/>
      <c r="G50" s="44"/>
      <c r="H50" s="44"/>
      <c r="I50" s="54" t="s">
        <v>53</v>
      </c>
      <c r="J50" s="55">
        <f>+'SCH A Expense Schedules'!B38</f>
        <v>100</v>
      </c>
      <c r="K50" s="55">
        <f>+'SCH A Expense Schedules'!C38</f>
        <v>100</v>
      </c>
      <c r="L50" s="55">
        <f>+'SCH A Expense Schedules'!D38</f>
        <v>100</v>
      </c>
      <c r="M50" s="55">
        <f>+'SCH A Expense Schedules'!E38</f>
        <v>100</v>
      </c>
      <c r="N50" s="55">
        <f>+'SCH A Expense Schedules'!F38</f>
        <v>100</v>
      </c>
      <c r="O50" s="55">
        <f>+'SCH A Expense Schedules'!G38</f>
        <v>100</v>
      </c>
      <c r="P50" s="55">
        <f>+'SCH A Expense Schedules'!H38</f>
        <v>100</v>
      </c>
      <c r="Q50" s="55">
        <f>+'SCH A Expense Schedules'!I38</f>
        <v>100</v>
      </c>
      <c r="R50" s="55">
        <f>+'SCH A Expense Schedules'!J38</f>
        <v>100</v>
      </c>
      <c r="S50" s="55">
        <f>+'SCH A Expense Schedules'!K38</f>
        <v>100</v>
      </c>
      <c r="T50" s="55">
        <f>+'SCH A Expense Schedules'!L38</f>
        <v>100</v>
      </c>
      <c r="U50" s="55">
        <f>+'SCH A Expense Schedules'!M38</f>
        <v>100</v>
      </c>
      <c r="V50" s="56">
        <f t="shared" si="12"/>
        <v>1200</v>
      </c>
      <c r="X50" s="403">
        <f>+V50-'SCH A Expense Schedules'!N38</f>
        <v>0</v>
      </c>
      <c r="Y50"/>
      <c r="Z50"/>
    </row>
    <row r="51" spans="1:29" s="21" customFormat="1" ht="15.75" thickBot="1" x14ac:dyDescent="0.3">
      <c r="A51" s="46"/>
      <c r="B51" s="46"/>
      <c r="C51" s="46"/>
      <c r="D51" s="46" t="s">
        <v>54</v>
      </c>
      <c r="E51" s="46"/>
      <c r="F51" s="46"/>
      <c r="G51" s="45"/>
      <c r="H51" s="45"/>
      <c r="I51" s="58" t="s">
        <v>54</v>
      </c>
      <c r="J51" s="67">
        <f>'SCH A Expense Schedules'!B14</f>
        <v>1046.3333333333333</v>
      </c>
      <c r="K51" s="67">
        <f>'SCH A Expense Schedules'!C14</f>
        <v>1046.3333333333333</v>
      </c>
      <c r="L51" s="67">
        <f>'SCH A Expense Schedules'!D14</f>
        <v>2846.3333333333335</v>
      </c>
      <c r="M51" s="67">
        <f>'SCH A Expense Schedules'!E14</f>
        <v>1125.3333333333333</v>
      </c>
      <c r="N51" s="67">
        <f>'SCH A Expense Schedules'!F14</f>
        <v>1046.3333333333333</v>
      </c>
      <c r="O51" s="67">
        <f>'SCH A Expense Schedules'!G14</f>
        <v>3646.3333333333335</v>
      </c>
      <c r="P51" s="67">
        <f>'SCH A Expense Schedules'!H14</f>
        <v>1046.3333333333333</v>
      </c>
      <c r="Q51" s="67">
        <f>'SCH A Expense Schedules'!I14</f>
        <v>1046.3333333333333</v>
      </c>
      <c r="R51" s="67">
        <f>'SCH A Expense Schedules'!J14</f>
        <v>1046.3333333333333</v>
      </c>
      <c r="S51" s="67">
        <f>'SCH A Expense Schedules'!K14</f>
        <v>1046.3333333333333</v>
      </c>
      <c r="T51" s="67">
        <f>'SCH A Expense Schedules'!L14</f>
        <v>1046.3333333333333</v>
      </c>
      <c r="U51" s="67">
        <f>'SCH A Expense Schedules'!M14</f>
        <v>1046.3333333333333</v>
      </c>
      <c r="V51" s="60">
        <f t="shared" si="12"/>
        <v>17035.000000000004</v>
      </c>
      <c r="X51" s="403">
        <f>+V51-'SCH A Expense Schedules'!N14</f>
        <v>0</v>
      </c>
      <c r="Y51"/>
      <c r="Z51"/>
      <c r="AB51"/>
      <c r="AC51"/>
    </row>
    <row r="52" spans="1:29" s="21" customFormat="1" ht="15.75" thickBot="1" x14ac:dyDescent="0.3">
      <c r="A52" s="43"/>
      <c r="B52" s="43"/>
      <c r="C52" s="43"/>
      <c r="D52" s="43" t="s">
        <v>55</v>
      </c>
      <c r="E52" s="43"/>
      <c r="F52" s="43"/>
      <c r="G52" s="44"/>
      <c r="H52" s="44"/>
      <c r="I52" s="54" t="s">
        <v>56</v>
      </c>
      <c r="J52" s="55">
        <f>50+150</f>
        <v>200</v>
      </c>
      <c r="K52" s="55">
        <f>50+140</f>
        <v>190</v>
      </c>
      <c r="L52" s="55">
        <f>50+130</f>
        <v>180</v>
      </c>
      <c r="M52" s="55">
        <f>50+100</f>
        <v>150</v>
      </c>
      <c r="N52" s="55">
        <f>50+80</f>
        <v>130</v>
      </c>
      <c r="O52" s="55">
        <f>50+50</f>
        <v>100</v>
      </c>
      <c r="P52" s="55">
        <f t="shared" ref="P52:S52" si="14">50+50</f>
        <v>100</v>
      </c>
      <c r="Q52" s="55">
        <f t="shared" si="14"/>
        <v>100</v>
      </c>
      <c r="R52" s="55">
        <f t="shared" si="14"/>
        <v>100</v>
      </c>
      <c r="S52" s="55">
        <f t="shared" si="14"/>
        <v>100</v>
      </c>
      <c r="T52" s="55">
        <f>50+130</f>
        <v>180</v>
      </c>
      <c r="U52" s="55">
        <f t="shared" ref="U52" si="15">50+150</f>
        <v>200</v>
      </c>
      <c r="V52" s="56">
        <f t="shared" si="12"/>
        <v>1730</v>
      </c>
      <c r="X52" s="399" t="s">
        <v>393</v>
      </c>
      <c r="Y52"/>
      <c r="Z52"/>
    </row>
    <row r="53" spans="1:29" s="21" customFormat="1" ht="12.75" thickBot="1" x14ac:dyDescent="0.25">
      <c r="A53" s="43"/>
      <c r="B53" s="43"/>
      <c r="C53" s="43"/>
      <c r="D53" s="43"/>
      <c r="E53" s="43"/>
      <c r="F53" s="43"/>
      <c r="G53" s="45"/>
      <c r="H53" s="45"/>
      <c r="I53" s="58" t="s">
        <v>57</v>
      </c>
      <c r="J53" s="67">
        <f>+'Sch B Loan'!C13</f>
        <v>0</v>
      </c>
      <c r="K53" s="67">
        <f>+'Sch B Loan'!D13</f>
        <v>0</v>
      </c>
      <c r="L53" s="67">
        <f>+'Sch B Loan'!E13</f>
        <v>0</v>
      </c>
      <c r="M53" s="67">
        <f>+'Sch B Loan'!F13</f>
        <v>0</v>
      </c>
      <c r="N53" s="67">
        <f>+'Sch B Loan'!G13</f>
        <v>0</v>
      </c>
      <c r="O53" s="67">
        <f>+'Sch B Loan'!H13</f>
        <v>0</v>
      </c>
      <c r="P53" s="67">
        <f>+'Sch B Loan'!I13</f>
        <v>0</v>
      </c>
      <c r="Q53" s="67">
        <f>+'Sch B Loan'!J13</f>
        <v>0</v>
      </c>
      <c r="R53" s="67">
        <f>+'Sch B Loan'!K13</f>
        <v>0</v>
      </c>
      <c r="S53" s="67">
        <f>+'Sch B Loan'!L13</f>
        <v>0</v>
      </c>
      <c r="T53" s="67">
        <f>+'Sch B Loan'!M13</f>
        <v>0</v>
      </c>
      <c r="U53" s="67">
        <f>+'Sch B Loan'!N13</f>
        <v>0</v>
      </c>
      <c r="V53" s="60">
        <f t="shared" si="12"/>
        <v>0</v>
      </c>
      <c r="X53" s="403">
        <f>+V53-'Sch B Loan'!O13</f>
        <v>0</v>
      </c>
    </row>
    <row r="54" spans="1:29" s="21" customFormat="1" ht="12.75" thickBot="1" x14ac:dyDescent="0.25">
      <c r="A54" s="43"/>
      <c r="B54" s="43"/>
      <c r="C54" s="43"/>
      <c r="D54" s="43" t="s">
        <v>58</v>
      </c>
      <c r="E54" s="43"/>
      <c r="F54" s="43"/>
      <c r="G54" s="44"/>
      <c r="H54" s="44"/>
      <c r="I54" s="54" t="s">
        <v>58</v>
      </c>
      <c r="J54" s="71">
        <f>+'SCH A Expense Schedules'!B23</f>
        <v>100</v>
      </c>
      <c r="K54" s="71">
        <f>'SCH A Expense Schedules'!C23</f>
        <v>244</v>
      </c>
      <c r="L54" s="71">
        <f>'SCH A Expense Schedules'!D23</f>
        <v>100</v>
      </c>
      <c r="M54" s="71">
        <f>'SCH A Expense Schedules'!E23</f>
        <v>100</v>
      </c>
      <c r="N54" s="71">
        <f>'SCH A Expense Schedules'!F23</f>
        <v>100</v>
      </c>
      <c r="O54" s="71">
        <f>'SCH A Expense Schedules'!G23</f>
        <v>100</v>
      </c>
      <c r="P54" s="71">
        <f>'SCH A Expense Schedules'!H23</f>
        <v>100</v>
      </c>
      <c r="Q54" s="71">
        <f>'SCH A Expense Schedules'!I23</f>
        <v>184</v>
      </c>
      <c r="R54" s="71">
        <f>'SCH A Expense Schedules'!J23</f>
        <v>100</v>
      </c>
      <c r="S54" s="71">
        <f>'SCH A Expense Schedules'!K23</f>
        <v>100</v>
      </c>
      <c r="T54" s="71">
        <f>'SCH A Expense Schedules'!L23</f>
        <v>100</v>
      </c>
      <c r="U54" s="71">
        <f>'SCH A Expense Schedules'!M23</f>
        <v>100</v>
      </c>
      <c r="V54" s="76">
        <f t="shared" si="12"/>
        <v>1428</v>
      </c>
      <c r="X54" s="403">
        <f>+V54-'SCH A Expense Schedules'!N23</f>
        <v>0</v>
      </c>
    </row>
    <row r="55" spans="1:29" s="27" customFormat="1" ht="12" x14ac:dyDescent="0.2">
      <c r="G55" s="28"/>
      <c r="H55" s="28"/>
      <c r="I55" s="61" t="s">
        <v>59</v>
      </c>
      <c r="J55" s="72">
        <f t="shared" ref="J55:U55" si="16">SUM(J48:J54)</f>
        <v>2113</v>
      </c>
      <c r="K55" s="72">
        <f t="shared" si="16"/>
        <v>2247</v>
      </c>
      <c r="L55" s="72">
        <f t="shared" si="16"/>
        <v>3893</v>
      </c>
      <c r="M55" s="72">
        <f t="shared" si="16"/>
        <v>2142</v>
      </c>
      <c r="N55" s="72">
        <f t="shared" si="16"/>
        <v>2043</v>
      </c>
      <c r="O55" s="72">
        <f t="shared" si="16"/>
        <v>4613</v>
      </c>
      <c r="P55" s="72">
        <f t="shared" si="16"/>
        <v>2013</v>
      </c>
      <c r="Q55" s="72">
        <f t="shared" si="16"/>
        <v>2097</v>
      </c>
      <c r="R55" s="72">
        <f t="shared" si="16"/>
        <v>2013</v>
      </c>
      <c r="S55" s="72">
        <f t="shared" si="16"/>
        <v>2013</v>
      </c>
      <c r="T55" s="72">
        <f t="shared" si="16"/>
        <v>2093</v>
      </c>
      <c r="U55" s="72">
        <f t="shared" si="16"/>
        <v>2113</v>
      </c>
      <c r="V55" s="56">
        <f t="shared" si="12"/>
        <v>29393</v>
      </c>
    </row>
    <row r="56" spans="1:29" s="27" customFormat="1" ht="12" x14ac:dyDescent="0.2">
      <c r="G56" s="28"/>
      <c r="H56" s="28"/>
      <c r="I56" s="61" t="s">
        <v>60</v>
      </c>
      <c r="J56" s="72">
        <f>J45+J55</f>
        <v>15096.474166666667</v>
      </c>
      <c r="K56" s="72">
        <f t="shared" ref="K56:V56" si="17">K45+K55</f>
        <v>15230.474166666667</v>
      </c>
      <c r="L56" s="72">
        <f t="shared" si="17"/>
        <v>16876.474166666667</v>
      </c>
      <c r="M56" s="72">
        <f t="shared" si="17"/>
        <v>15125.474166666667</v>
      </c>
      <c r="N56" s="72">
        <f t="shared" si="17"/>
        <v>15026.474166666667</v>
      </c>
      <c r="O56" s="72">
        <f t="shared" si="17"/>
        <v>17596.474166666667</v>
      </c>
      <c r="P56" s="72">
        <f t="shared" si="17"/>
        <v>14996.474166666667</v>
      </c>
      <c r="Q56" s="72">
        <f t="shared" si="17"/>
        <v>15080.474166666667</v>
      </c>
      <c r="R56" s="72">
        <f t="shared" si="17"/>
        <v>14996.474166666667</v>
      </c>
      <c r="S56" s="72">
        <f t="shared" si="17"/>
        <v>14996.474166666667</v>
      </c>
      <c r="T56" s="72">
        <f t="shared" si="17"/>
        <v>15076.474166666667</v>
      </c>
      <c r="U56" s="72">
        <f t="shared" si="17"/>
        <v>15096.474166666667</v>
      </c>
      <c r="V56" s="72">
        <f t="shared" si="17"/>
        <v>185194.69</v>
      </c>
    </row>
    <row r="57" spans="1:29" s="27" customFormat="1" ht="12" x14ac:dyDescent="0.2">
      <c r="G57" s="28"/>
      <c r="H57" s="28"/>
      <c r="I57" s="6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63"/>
    </row>
    <row r="58" spans="1:29" s="103" customFormat="1" ht="12" x14ac:dyDescent="0.2">
      <c r="A58" s="22"/>
      <c r="B58" s="22"/>
      <c r="C58" s="22"/>
      <c r="D58" s="22"/>
      <c r="E58" s="22"/>
      <c r="F58" s="22"/>
      <c r="G58" s="102"/>
      <c r="H58" s="210" t="s">
        <v>61</v>
      </c>
      <c r="I58" s="210"/>
      <c r="J58" s="73">
        <f t="shared" ref="J58:U58" si="18">J38-J45-J55</f>
        <v>28687.916883333331</v>
      </c>
      <c r="K58" s="73">
        <f t="shared" si="18"/>
        <v>-3986.8037366666667</v>
      </c>
      <c r="L58" s="73">
        <f t="shared" si="18"/>
        <v>-14671.753526666667</v>
      </c>
      <c r="M58" s="73">
        <f t="shared" si="18"/>
        <v>-15125.474166666667</v>
      </c>
      <c r="N58" s="73">
        <f t="shared" si="18"/>
        <v>-13323.378466666667</v>
      </c>
      <c r="O58" s="73">
        <f t="shared" si="18"/>
        <v>-13164.672696666667</v>
      </c>
      <c r="P58" s="73">
        <f t="shared" si="18"/>
        <v>-12922.426706666667</v>
      </c>
      <c r="Q58" s="73">
        <f t="shared" si="18"/>
        <v>-13740.404506666666</v>
      </c>
      <c r="R58" s="73">
        <f t="shared" si="18"/>
        <v>-14996.474166666667</v>
      </c>
      <c r="S58" s="73">
        <f t="shared" si="18"/>
        <v>-10685.411476666668</v>
      </c>
      <c r="T58" s="73">
        <f t="shared" si="18"/>
        <v>-11423.713436666667</v>
      </c>
      <c r="U58" s="73">
        <f t="shared" si="18"/>
        <v>91742.75599333334</v>
      </c>
      <c r="V58" s="74">
        <f>SUM(J58:U58)</f>
        <v>-3609.8400099999999</v>
      </c>
    </row>
    <row r="59" spans="1:29" s="103" customFormat="1" ht="12" x14ac:dyDescent="0.2">
      <c r="G59" s="104"/>
      <c r="H59" s="104"/>
    </row>
    <row r="60" spans="1:29" s="105" customFormat="1" ht="12" x14ac:dyDescent="0.2">
      <c r="G60" s="106"/>
      <c r="H60" s="107"/>
      <c r="I60" s="108" t="s">
        <v>62</v>
      </c>
      <c r="J60" s="109">
        <f t="shared" ref="J60:V60" ca="1" si="19">J30+J38-J45-J55</f>
        <v>27852.250216666667</v>
      </c>
      <c r="K60" s="109">
        <f t="shared" ca="1" si="19"/>
        <v>-7522.4704033333328</v>
      </c>
      <c r="L60" s="109">
        <f t="shared" ca="1" si="19"/>
        <v>-14701.303842301837</v>
      </c>
      <c r="M60" s="109">
        <f t="shared" ca="1" si="19"/>
        <v>-14645.736320051979</v>
      </c>
      <c r="N60" s="109">
        <f t="shared" ca="1" si="19"/>
        <v>-13251.885353627365</v>
      </c>
      <c r="O60" s="109">
        <f t="shared" ca="1" si="19"/>
        <v>-15227.94616280282</v>
      </c>
      <c r="P60" s="109">
        <f t="shared" ca="1" si="19"/>
        <v>-13953.633082990003</v>
      </c>
      <c r="Q60" s="109">
        <f t="shared" ca="1" si="19"/>
        <v>-13288.386214093884</v>
      </c>
      <c r="R60" s="109">
        <f t="shared" ca="1" si="19"/>
        <v>-15877.140833333333</v>
      </c>
      <c r="S60" s="109">
        <f t="shared" ca="1" si="19"/>
        <v>-10954.411476666668</v>
      </c>
      <c r="T60" s="109">
        <f t="shared" ca="1" si="19"/>
        <v>-11905.525955897312</v>
      </c>
      <c r="U60" s="109">
        <f t="shared" ca="1" si="19"/>
        <v>93002.45941843187</v>
      </c>
      <c r="V60" s="110">
        <f t="shared" ca="1" si="19"/>
        <v>-10473.730009999999</v>
      </c>
      <c r="Z60" s="111"/>
    </row>
    <row r="61" spans="1:29" s="103" customFormat="1" ht="12" x14ac:dyDescent="0.2">
      <c r="G61" s="112"/>
      <c r="H61" s="113"/>
      <c r="I61" s="114" t="s">
        <v>63</v>
      </c>
      <c r="J61" s="101">
        <f ca="1">J60</f>
        <v>27852.250216666667</v>
      </c>
      <c r="K61" s="101">
        <f ca="1">K60+J61</f>
        <v>20329.779813333334</v>
      </c>
      <c r="L61" s="101">
        <f t="shared" ref="L61:U61" ca="1" si="20">L60+K61</f>
        <v>5628.4759710314975</v>
      </c>
      <c r="M61" s="101">
        <f t="shared" ca="1" si="20"/>
        <v>-9017.260349020482</v>
      </c>
      <c r="N61" s="101">
        <f t="shared" ca="1" si="20"/>
        <v>-22269.145702647846</v>
      </c>
      <c r="O61" s="101">
        <f t="shared" ca="1" si="20"/>
        <v>-37497.091865450668</v>
      </c>
      <c r="P61" s="101">
        <f t="shared" ca="1" si="20"/>
        <v>-51450.724948440671</v>
      </c>
      <c r="Q61" s="101">
        <f t="shared" ca="1" si="20"/>
        <v>-64739.111162534551</v>
      </c>
      <c r="R61" s="101">
        <f t="shared" ca="1" si="20"/>
        <v>-80616.251995867889</v>
      </c>
      <c r="S61" s="101">
        <f t="shared" ca="1" si="20"/>
        <v>-91570.663472534565</v>
      </c>
      <c r="T61" s="101">
        <f t="shared" ca="1" si="20"/>
        <v>-103476.18942843188</v>
      </c>
      <c r="U61" s="101">
        <f t="shared" ca="1" si="20"/>
        <v>-10473.730010000014</v>
      </c>
      <c r="V61" s="115"/>
    </row>
    <row r="62" spans="1:29" s="21" customFormat="1" ht="12" x14ac:dyDescent="0.2">
      <c r="G62" s="26"/>
      <c r="H62" s="26"/>
    </row>
    <row r="63" spans="1:29" s="21" customFormat="1" ht="12" x14ac:dyDescent="0.2">
      <c r="G63" s="26"/>
      <c r="H63" s="26"/>
    </row>
    <row r="64" spans="1:29" s="21" customFormat="1" ht="12" x14ac:dyDescent="0.2">
      <c r="G64" s="26"/>
      <c r="H64" s="26"/>
      <c r="V64" s="177"/>
    </row>
    <row r="65" spans="7:8" s="21" customFormat="1" ht="12" x14ac:dyDescent="0.2">
      <c r="G65" s="26"/>
      <c r="H65" s="26"/>
    </row>
    <row r="66" spans="7:8" s="21" customFormat="1" ht="12" x14ac:dyDescent="0.2">
      <c r="G66" s="26"/>
      <c r="H66" s="26"/>
    </row>
    <row r="67" spans="7:8" s="21" customFormat="1" ht="12" x14ac:dyDescent="0.2">
      <c r="G67" s="26"/>
      <c r="H67" s="26"/>
    </row>
    <row r="68" spans="7:8" s="21" customFormat="1" ht="12" x14ac:dyDescent="0.2">
      <c r="G68" s="26"/>
      <c r="H68" s="26"/>
    </row>
    <row r="69" spans="7:8" s="21" customFormat="1" ht="12" x14ac:dyDescent="0.2">
      <c r="G69" s="26"/>
      <c r="H69" s="26"/>
    </row>
    <row r="70" spans="7:8" s="21" customFormat="1" ht="12" x14ac:dyDescent="0.2">
      <c r="G70" s="26"/>
      <c r="H70" s="26"/>
    </row>
    <row r="71" spans="7:8" s="21" customFormat="1" ht="12" x14ac:dyDescent="0.2">
      <c r="G71" s="26"/>
      <c r="H71" s="26"/>
    </row>
    <row r="72" spans="7:8" s="21" customFormat="1" ht="12" x14ac:dyDescent="0.2">
      <c r="G72" s="26"/>
      <c r="H72" s="26"/>
    </row>
    <row r="73" spans="7:8" s="21" customFormat="1" ht="12" x14ac:dyDescent="0.2">
      <c r="G73" s="26"/>
      <c r="H73" s="26"/>
    </row>
    <row r="74" spans="7:8" s="21" customFormat="1" ht="12" x14ac:dyDescent="0.2">
      <c r="G74" s="26"/>
      <c r="H74" s="26"/>
    </row>
    <row r="75" spans="7:8" s="21" customFormat="1" ht="12" x14ac:dyDescent="0.2">
      <c r="G75" s="26"/>
      <c r="H75" s="26"/>
    </row>
    <row r="76" spans="7:8" s="21" customFormat="1" ht="12" x14ac:dyDescent="0.2">
      <c r="G76" s="26"/>
      <c r="H76" s="26"/>
    </row>
    <row r="77" spans="7:8" s="21" customFormat="1" ht="12" x14ac:dyDescent="0.2">
      <c r="G77" s="26"/>
      <c r="H77" s="26"/>
    </row>
  </sheetData>
  <mergeCells count="5">
    <mergeCell ref="J1:U3"/>
    <mergeCell ref="H28:I28"/>
    <mergeCell ref="H30:I30"/>
    <mergeCell ref="H58:I58"/>
    <mergeCell ref="Y10:Z10"/>
  </mergeCells>
  <pageMargins left="0.3" right="0.2" top="0.2" bottom="0.15" header="0.3" footer="0.3"/>
  <pageSetup scale="98" fitToHeight="0" orientation="landscape" verticalDpi="1200" r:id="rId1"/>
  <rowBreaks count="1" manualBreakCount="1">
    <brk id="3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DEC50-5EB0-4FE3-9078-BA0BF6C8A635}">
  <sheetPr>
    <tabColor rgb="FF92D050"/>
    <pageSetUpPr fitToPage="1"/>
  </sheetPr>
  <dimension ref="A1:Q77"/>
  <sheetViews>
    <sheetView zoomScale="175" zoomScaleNormal="175" workbookViewId="0">
      <pane ySplit="4" topLeftCell="A32" activePane="bottomLeft" state="frozen"/>
      <selection pane="bottomLeft" activeCell="E57" sqref="E57"/>
    </sheetView>
  </sheetViews>
  <sheetFormatPr defaultColWidth="8.85546875" defaultRowHeight="15" x14ac:dyDescent="0.25"/>
  <cols>
    <col min="1" max="2" width="1.28515625" style="26" customWidth="1"/>
    <col min="3" max="3" width="29.85546875" customWidth="1"/>
    <col min="4" max="6" width="11.85546875" customWidth="1"/>
    <col min="9" max="9" width="11.85546875" bestFit="1" customWidth="1"/>
    <col min="11" max="11" width="10.85546875" customWidth="1"/>
  </cols>
  <sheetData>
    <row r="1" spans="1:17" ht="18.75" x14ac:dyDescent="0.3">
      <c r="A1" s="20" t="s">
        <v>119</v>
      </c>
    </row>
    <row r="3" spans="1:17" s="116" customFormat="1" ht="12.75" x14ac:dyDescent="0.2">
      <c r="D3" s="121" t="s">
        <v>78</v>
      </c>
      <c r="E3" s="121" t="s">
        <v>78</v>
      </c>
      <c r="F3" s="121" t="s">
        <v>78</v>
      </c>
    </row>
    <row r="4" spans="1:17" s="116" customFormat="1" ht="12.75" x14ac:dyDescent="0.2">
      <c r="D4" s="404">
        <v>2023</v>
      </c>
      <c r="E4" s="404">
        <v>2024</v>
      </c>
      <c r="F4" s="117" t="s">
        <v>404</v>
      </c>
    </row>
    <row r="5" spans="1:17" s="116" customFormat="1" x14ac:dyDescent="0.25">
      <c r="A5" s="118"/>
      <c r="B5" s="118"/>
      <c r="C5" s="119"/>
      <c r="D5" s="120"/>
      <c r="E5" s="120"/>
      <c r="F5" s="120"/>
      <c r="H5"/>
      <c r="I5"/>
      <c r="J5"/>
      <c r="K5"/>
    </row>
    <row r="6" spans="1:17" s="116" customFormat="1" x14ac:dyDescent="0.25">
      <c r="A6" s="82" t="s">
        <v>4</v>
      </c>
      <c r="B6" s="41"/>
      <c r="C6" s="52"/>
      <c r="D6" s="52"/>
      <c r="E6" s="52"/>
      <c r="F6" s="52"/>
      <c r="G6"/>
      <c r="H6"/>
      <c r="I6"/>
      <c r="J6"/>
      <c r="K6"/>
      <c r="L6"/>
      <c r="M6"/>
      <c r="N6"/>
      <c r="O6"/>
      <c r="P6"/>
      <c r="Q6"/>
    </row>
    <row r="7" spans="1:17" s="116" customFormat="1" ht="12.75" x14ac:dyDescent="0.2">
      <c r="A7" s="44"/>
      <c r="B7" s="44"/>
      <c r="C7" s="23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17" s="116" customFormat="1" ht="12.75" x14ac:dyDescent="0.2">
      <c r="A8" s="83" t="s">
        <v>5</v>
      </c>
      <c r="B8" s="25"/>
      <c r="C8" s="53"/>
      <c r="D8" s="405"/>
      <c r="E8" s="405"/>
      <c r="F8" s="405"/>
    </row>
    <row r="9" spans="1:17" s="116" customFormat="1" ht="12.75" x14ac:dyDescent="0.2">
      <c r="A9" s="44"/>
      <c r="B9" s="44"/>
      <c r="C9" s="54" t="s">
        <v>7</v>
      </c>
      <c r="D9" s="406">
        <v>59510.42</v>
      </c>
      <c r="E9" s="406">
        <f>+'Income Statement'!V10</f>
        <v>65325.42</v>
      </c>
      <c r="F9" s="406">
        <f>+E9-D9</f>
        <v>5815</v>
      </c>
    </row>
    <row r="10" spans="1:17" s="116" customFormat="1" ht="12.75" x14ac:dyDescent="0.2">
      <c r="A10" s="45"/>
      <c r="B10" s="45"/>
      <c r="C10" s="58" t="s">
        <v>9</v>
      </c>
      <c r="D10" s="407">
        <v>-5000.0000000000009</v>
      </c>
      <c r="E10" s="407">
        <f>+'Income Statement'!V11</f>
        <v>-2500</v>
      </c>
      <c r="F10" s="407">
        <f t="shared" ref="F10:F11" si="0">+E10-D10</f>
        <v>2500.0000000000009</v>
      </c>
    </row>
    <row r="11" spans="1:17" s="116" customFormat="1" ht="12.75" x14ac:dyDescent="0.2">
      <c r="A11" s="44"/>
      <c r="B11" s="44"/>
      <c r="C11" s="61" t="s">
        <v>10</v>
      </c>
      <c r="D11" s="406">
        <v>54510.42</v>
      </c>
      <c r="E11" s="406">
        <f>+'Income Statement'!V12</f>
        <v>62825.42</v>
      </c>
      <c r="F11" s="406">
        <f t="shared" si="0"/>
        <v>8315</v>
      </c>
    </row>
    <row r="12" spans="1:17" s="116" customFormat="1" ht="12.75" x14ac:dyDescent="0.2">
      <c r="A12" s="44"/>
      <c r="B12" s="44"/>
      <c r="C12" s="62"/>
      <c r="D12" s="408"/>
      <c r="E12" s="408"/>
      <c r="F12" s="408"/>
    </row>
    <row r="13" spans="1:17" s="116" customFormat="1" ht="12.75" x14ac:dyDescent="0.2">
      <c r="A13" s="84" t="s">
        <v>12</v>
      </c>
      <c r="B13" s="25"/>
      <c r="C13" s="64"/>
      <c r="D13" s="409"/>
      <c r="E13" s="409"/>
      <c r="F13" s="409"/>
    </row>
    <row r="14" spans="1:17" s="116" customFormat="1" ht="12.75" x14ac:dyDescent="0.2">
      <c r="A14" s="44"/>
      <c r="B14" s="26"/>
      <c r="C14" s="22" t="s">
        <v>14</v>
      </c>
      <c r="D14" s="410"/>
      <c r="E14" s="410"/>
      <c r="F14" s="410"/>
    </row>
    <row r="15" spans="1:17" s="116" customFormat="1" ht="12.75" x14ac:dyDescent="0.2">
      <c r="A15" s="45"/>
      <c r="B15" s="45"/>
      <c r="C15" s="58" t="s">
        <v>16</v>
      </c>
      <c r="D15" s="407">
        <v>7790</v>
      </c>
      <c r="E15" s="407">
        <f ca="1">+'Income Statement'!V16</f>
        <v>9340</v>
      </c>
      <c r="F15" s="407">
        <f t="shared" ref="F15:F18" ca="1" si="1">+E15-D15</f>
        <v>1550</v>
      </c>
    </row>
    <row r="16" spans="1:17" s="116" customFormat="1" ht="15" customHeight="1" x14ac:dyDescent="0.2">
      <c r="A16" s="44"/>
      <c r="B16" s="44"/>
      <c r="C16" s="54" t="s">
        <v>18</v>
      </c>
      <c r="D16" s="406">
        <v>17045.440000000002</v>
      </c>
      <c r="E16" s="406">
        <f ca="1">+'Income Statement'!V17</f>
        <v>21045.5</v>
      </c>
      <c r="F16" s="406">
        <f t="shared" ca="1" si="1"/>
        <v>4000.0599999999977</v>
      </c>
    </row>
    <row r="17" spans="1:6" s="116" customFormat="1" ht="12.75" customHeight="1" x14ac:dyDescent="0.2">
      <c r="A17" s="45"/>
      <c r="B17" s="45"/>
      <c r="C17" s="58" t="s">
        <v>20</v>
      </c>
      <c r="D17" s="407">
        <v>4265</v>
      </c>
      <c r="E17" s="407">
        <f ca="1">+'Income Statement'!V18</f>
        <v>2365</v>
      </c>
      <c r="F17" s="407">
        <f t="shared" ca="1" si="1"/>
        <v>-1900</v>
      </c>
    </row>
    <row r="18" spans="1:6" s="116" customFormat="1" ht="12.75" x14ac:dyDescent="0.2">
      <c r="A18" s="44"/>
      <c r="B18" s="44"/>
      <c r="C18" s="61" t="s">
        <v>22</v>
      </c>
      <c r="D18" s="408">
        <v>29100.440000000002</v>
      </c>
      <c r="E18" s="408">
        <f ca="1">+'Income Statement'!V19</f>
        <v>32750.500000000004</v>
      </c>
      <c r="F18" s="408">
        <f t="shared" ca="1" si="1"/>
        <v>3650.0600000000013</v>
      </c>
    </row>
    <row r="19" spans="1:6" s="116" customFormat="1" ht="12.75" x14ac:dyDescent="0.2">
      <c r="A19" s="44"/>
      <c r="B19" s="44"/>
      <c r="C19" s="62"/>
      <c r="D19" s="408"/>
      <c r="E19" s="408"/>
      <c r="F19" s="408"/>
    </row>
    <row r="20" spans="1:6" s="116" customFormat="1" ht="12.75" x14ac:dyDescent="0.2">
      <c r="A20" s="85"/>
      <c r="B20" s="86" t="s">
        <v>23</v>
      </c>
      <c r="C20" s="42"/>
      <c r="D20" s="411"/>
      <c r="E20" s="411"/>
      <c r="F20" s="411"/>
    </row>
    <row r="21" spans="1:6" s="116" customFormat="1" ht="12.75" x14ac:dyDescent="0.2">
      <c r="A21" s="45"/>
      <c r="B21" s="45"/>
      <c r="C21" s="58" t="s">
        <v>24</v>
      </c>
      <c r="D21" s="407">
        <v>19907</v>
      </c>
      <c r="E21" s="407">
        <f ca="1">+'Income Statement'!V22</f>
        <v>22404.809999999998</v>
      </c>
      <c r="F21" s="407">
        <f t="shared" ref="F21:F27" ca="1" si="2">+E21-D21</f>
        <v>2497.8099999999977</v>
      </c>
    </row>
    <row r="22" spans="1:6" s="116" customFormat="1" ht="12.75" x14ac:dyDescent="0.2">
      <c r="A22" s="44"/>
      <c r="B22" s="44"/>
      <c r="C22" s="54" t="s">
        <v>26</v>
      </c>
      <c r="D22" s="406">
        <v>0</v>
      </c>
      <c r="E22" s="406">
        <f>+'Income Statement'!V23</f>
        <v>0</v>
      </c>
      <c r="F22" s="406">
        <f t="shared" si="2"/>
        <v>0</v>
      </c>
    </row>
    <row r="23" spans="1:6" s="116" customFormat="1" ht="12.75" x14ac:dyDescent="0.2">
      <c r="A23" s="45"/>
      <c r="B23" s="45"/>
      <c r="C23" s="58" t="s">
        <v>28</v>
      </c>
      <c r="D23" s="407">
        <v>828</v>
      </c>
      <c r="E23" s="407">
        <f>+'Income Statement'!V24</f>
        <v>828</v>
      </c>
      <c r="F23" s="407">
        <f t="shared" si="2"/>
        <v>0</v>
      </c>
    </row>
    <row r="24" spans="1:6" s="116" customFormat="1" ht="12.75" x14ac:dyDescent="0.2">
      <c r="A24" s="44"/>
      <c r="B24" s="44"/>
      <c r="C24" s="54" t="s">
        <v>29</v>
      </c>
      <c r="D24" s="406">
        <v>5000</v>
      </c>
      <c r="E24" s="406">
        <f>+'Income Statement'!V25</f>
        <v>2400</v>
      </c>
      <c r="F24" s="406">
        <f t="shared" si="2"/>
        <v>-2600</v>
      </c>
    </row>
    <row r="25" spans="1:6" s="116" customFormat="1" ht="12.75" x14ac:dyDescent="0.2">
      <c r="A25" s="45"/>
      <c r="B25" s="45"/>
      <c r="C25" s="58" t="s">
        <v>30</v>
      </c>
      <c r="D25" s="407">
        <v>9905</v>
      </c>
      <c r="E25" s="407">
        <f ca="1">+'Income Statement'!V26</f>
        <v>11306</v>
      </c>
      <c r="F25" s="407">
        <f t="shared" ca="1" si="2"/>
        <v>1401</v>
      </c>
    </row>
    <row r="26" spans="1:6" s="116" customFormat="1" ht="12.75" x14ac:dyDescent="0.2">
      <c r="A26" s="44"/>
      <c r="B26" s="44"/>
      <c r="C26" s="61" t="s">
        <v>31</v>
      </c>
      <c r="D26" s="406">
        <v>35640</v>
      </c>
      <c r="E26" s="406">
        <f ca="1">+'Income Statement'!V27</f>
        <v>36938.81</v>
      </c>
      <c r="F26" s="406">
        <f t="shared" ca="1" si="2"/>
        <v>1298.8099999999977</v>
      </c>
    </row>
    <row r="27" spans="1:6" s="116" customFormat="1" ht="12.75" x14ac:dyDescent="0.2">
      <c r="A27" s="44"/>
      <c r="B27" s="209" t="s">
        <v>32</v>
      </c>
      <c r="C27" s="209"/>
      <c r="D27" s="406">
        <v>64740.44</v>
      </c>
      <c r="E27" s="406">
        <f ca="1">+'Income Statement'!V28</f>
        <v>69689.31</v>
      </c>
      <c r="F27" s="406">
        <f t="shared" ca="1" si="2"/>
        <v>4948.8699999999953</v>
      </c>
    </row>
    <row r="28" spans="1:6" s="116" customFormat="1" ht="12.75" x14ac:dyDescent="0.2">
      <c r="A28" s="44"/>
      <c r="B28" s="44"/>
      <c r="C28" s="23"/>
      <c r="D28" s="410"/>
      <c r="E28" s="410"/>
      <c r="F28" s="410"/>
    </row>
    <row r="29" spans="1:6" s="116" customFormat="1" ht="12.75" x14ac:dyDescent="0.2">
      <c r="A29" s="48"/>
      <c r="B29" s="210" t="s">
        <v>33</v>
      </c>
      <c r="C29" s="210"/>
      <c r="D29" s="412">
        <v>-10230.020000000004</v>
      </c>
      <c r="E29" s="412">
        <f ca="1">+'Income Statement'!V30</f>
        <v>-6863.8899999999994</v>
      </c>
      <c r="F29" s="412">
        <f ca="1">+E29-D29</f>
        <v>3366.1300000000047</v>
      </c>
    </row>
    <row r="30" spans="1:6" s="116" customFormat="1" ht="12.75" x14ac:dyDescent="0.2">
      <c r="A30" s="44"/>
      <c r="B30" s="44"/>
      <c r="C30" s="23"/>
      <c r="D30" s="410"/>
      <c r="E30" s="410"/>
      <c r="F30" s="410"/>
    </row>
    <row r="31" spans="1:6" s="116" customFormat="1" ht="12.75" x14ac:dyDescent="0.2">
      <c r="A31" s="82" t="s">
        <v>34</v>
      </c>
      <c r="B31" s="41"/>
      <c r="C31" s="52"/>
      <c r="D31" s="413"/>
      <c r="E31" s="413"/>
      <c r="F31" s="413"/>
    </row>
    <row r="32" spans="1:6" s="116" customFormat="1" ht="12.75" x14ac:dyDescent="0.2">
      <c r="A32" s="44"/>
      <c r="B32" s="44"/>
      <c r="C32" s="23"/>
      <c r="D32" s="410"/>
      <c r="E32" s="410"/>
      <c r="F32" s="410"/>
    </row>
    <row r="33" spans="1:6" s="116" customFormat="1" ht="12.75" x14ac:dyDescent="0.2">
      <c r="A33" s="84" t="s">
        <v>35</v>
      </c>
      <c r="B33" s="84"/>
      <c r="C33" s="64"/>
      <c r="D33" s="414"/>
      <c r="E33" s="414"/>
      <c r="F33" s="414"/>
    </row>
    <row r="34" spans="1:6" s="116" customFormat="1" ht="12.75" x14ac:dyDescent="0.2">
      <c r="A34" s="44"/>
      <c r="B34" s="44"/>
      <c r="C34" s="54" t="s">
        <v>37</v>
      </c>
      <c r="D34" s="406">
        <v>115999.99999999999</v>
      </c>
      <c r="E34" s="406">
        <f>+'Income Statement'!V35</f>
        <v>181584.85000000003</v>
      </c>
      <c r="F34" s="406">
        <f t="shared" ref="F34:F37" si="3">+E34-D34</f>
        <v>65584.850000000049</v>
      </c>
    </row>
    <row r="35" spans="1:6" s="116" customFormat="1" ht="12.75" x14ac:dyDescent="0.2">
      <c r="A35" s="45"/>
      <c r="B35" s="45"/>
      <c r="C35" s="58" t="s">
        <v>38</v>
      </c>
      <c r="D35" s="407">
        <v>0</v>
      </c>
      <c r="E35" s="407">
        <f>+'Income Statement'!V36</f>
        <v>0</v>
      </c>
      <c r="F35" s="407">
        <f t="shared" si="3"/>
        <v>0</v>
      </c>
    </row>
    <row r="36" spans="1:6" s="116" customFormat="1" ht="12.75" x14ac:dyDescent="0.2">
      <c r="A36" s="44"/>
      <c r="B36" s="44"/>
      <c r="C36" s="54" t="s">
        <v>39</v>
      </c>
      <c r="D36" s="415">
        <v>1184.0670581917809</v>
      </c>
      <c r="E36" s="415">
        <f>+'Income Statement'!V37</f>
        <v>0</v>
      </c>
      <c r="F36" s="415">
        <f t="shared" si="3"/>
        <v>-1184.0670581917809</v>
      </c>
    </row>
    <row r="37" spans="1:6" s="116" customFormat="1" ht="12.75" x14ac:dyDescent="0.2">
      <c r="A37" s="44"/>
      <c r="B37" s="44"/>
      <c r="C37" s="61" t="s">
        <v>41</v>
      </c>
      <c r="D37" s="416">
        <v>117184.06706</v>
      </c>
      <c r="E37" s="416">
        <f>+'Income Statement'!V38</f>
        <v>181584.84998999999</v>
      </c>
      <c r="F37" s="416">
        <f t="shared" si="3"/>
        <v>64400.782929999987</v>
      </c>
    </row>
    <row r="38" spans="1:6" s="116" customFormat="1" ht="12.75" x14ac:dyDescent="0.2">
      <c r="A38" s="84" t="s">
        <v>42</v>
      </c>
      <c r="B38" s="84"/>
      <c r="C38" s="64"/>
      <c r="D38" s="417"/>
      <c r="E38" s="417"/>
      <c r="F38" s="417"/>
    </row>
    <row r="39" spans="1:6" s="116" customFormat="1" ht="12.75" x14ac:dyDescent="0.2">
      <c r="A39" s="44"/>
      <c r="B39" s="44"/>
      <c r="C39" s="23"/>
      <c r="D39" s="418"/>
      <c r="E39" s="418"/>
      <c r="F39" s="418"/>
    </row>
    <row r="40" spans="1:6" s="116" customFormat="1" ht="12.75" x14ac:dyDescent="0.2">
      <c r="A40" s="85"/>
      <c r="B40" s="85" t="s">
        <v>43</v>
      </c>
      <c r="C40" s="42"/>
      <c r="D40" s="419"/>
      <c r="E40" s="419"/>
      <c r="F40" s="419"/>
    </row>
    <row r="41" spans="1:6" s="116" customFormat="1" ht="12.75" x14ac:dyDescent="0.2">
      <c r="A41" s="45"/>
      <c r="B41" s="45"/>
      <c r="C41" s="58" t="s">
        <v>44</v>
      </c>
      <c r="D41" s="407">
        <v>45520.02</v>
      </c>
      <c r="E41" s="407">
        <f>+'Income Statement'!V42</f>
        <v>148079</v>
      </c>
      <c r="F41" s="407">
        <f t="shared" ref="F41:F44" si="4">+E41-D41</f>
        <v>102558.98000000001</v>
      </c>
    </row>
    <row r="42" spans="1:6" s="116" customFormat="1" ht="12.75" x14ac:dyDescent="0.2">
      <c r="A42" s="44"/>
      <c r="B42" s="44"/>
      <c r="C42" s="54" t="s">
        <v>45</v>
      </c>
      <c r="D42" s="406">
        <v>420</v>
      </c>
      <c r="E42" s="406">
        <f>+'Income Statement'!V43</f>
        <v>420</v>
      </c>
      <c r="F42" s="406">
        <f t="shared" si="4"/>
        <v>0</v>
      </c>
    </row>
    <row r="43" spans="1:6" s="116" customFormat="1" ht="12.75" x14ac:dyDescent="0.2">
      <c r="A43" s="45"/>
      <c r="B43" s="45"/>
      <c r="C43" s="58" t="s">
        <v>46</v>
      </c>
      <c r="D43" s="407">
        <v>3482.2815300000002</v>
      </c>
      <c r="E43" s="407">
        <f>+'Income Statement'!V44</f>
        <v>7302.69</v>
      </c>
      <c r="F43" s="407">
        <f t="shared" si="4"/>
        <v>3820.4084699999994</v>
      </c>
    </row>
    <row r="44" spans="1:6" s="116" customFormat="1" ht="12.75" x14ac:dyDescent="0.2">
      <c r="A44" s="44"/>
      <c r="B44" s="44"/>
      <c r="C44" s="61" t="s">
        <v>47</v>
      </c>
      <c r="D44" s="406">
        <v>49422.301530000026</v>
      </c>
      <c r="E44" s="406">
        <f>+'Income Statement'!V45</f>
        <v>155801.69</v>
      </c>
      <c r="F44" s="406">
        <f t="shared" si="4"/>
        <v>106379.38846999998</v>
      </c>
    </row>
    <row r="45" spans="1:6" s="116" customFormat="1" ht="12.75" x14ac:dyDescent="0.2">
      <c r="A45" s="44"/>
      <c r="B45" s="44"/>
      <c r="C45" s="62"/>
      <c r="D45" s="408"/>
      <c r="E45" s="408"/>
      <c r="F45" s="408"/>
    </row>
    <row r="46" spans="1:6" s="116" customFormat="1" ht="12.75" x14ac:dyDescent="0.2">
      <c r="A46" s="84"/>
      <c r="B46" s="84" t="s">
        <v>49</v>
      </c>
      <c r="C46" s="64"/>
      <c r="D46" s="420"/>
      <c r="E46" s="420"/>
      <c r="F46" s="420"/>
    </row>
    <row r="47" spans="1:6" s="116" customFormat="1" ht="12.75" x14ac:dyDescent="0.2">
      <c r="A47" s="44"/>
      <c r="B47" s="44"/>
      <c r="C47" s="54" t="s">
        <v>50</v>
      </c>
      <c r="D47" s="406">
        <v>0</v>
      </c>
      <c r="E47" s="406">
        <f>+'Income Statement'!V48</f>
        <v>0</v>
      </c>
      <c r="F47" s="406">
        <f t="shared" ref="F47:F55" si="5">+E47-D47</f>
        <v>0</v>
      </c>
    </row>
    <row r="48" spans="1:6" s="116" customFormat="1" ht="12.75" x14ac:dyDescent="0.2">
      <c r="A48" s="45"/>
      <c r="B48" s="45"/>
      <c r="C48" s="58" t="s">
        <v>52</v>
      </c>
      <c r="D48" s="407">
        <v>10999.999999999998</v>
      </c>
      <c r="E48" s="407">
        <f>+'Income Statement'!V49</f>
        <v>8000.0000000000009</v>
      </c>
      <c r="F48" s="407">
        <f t="shared" si="5"/>
        <v>-2999.9999999999973</v>
      </c>
    </row>
    <row r="49" spans="1:6" s="116" customFormat="1" ht="12.75" x14ac:dyDescent="0.2">
      <c r="A49" s="44"/>
      <c r="B49" s="44"/>
      <c r="C49" s="54" t="s">
        <v>53</v>
      </c>
      <c r="D49" s="406">
        <v>600</v>
      </c>
      <c r="E49" s="406">
        <f>+'Income Statement'!V50</f>
        <v>1200</v>
      </c>
      <c r="F49" s="406">
        <f t="shared" si="5"/>
        <v>600</v>
      </c>
    </row>
    <row r="50" spans="1:6" s="116" customFormat="1" ht="12.75" x14ac:dyDescent="0.2">
      <c r="A50" s="45"/>
      <c r="B50" s="45"/>
      <c r="C50" s="58" t="s">
        <v>54</v>
      </c>
      <c r="D50" s="407">
        <v>27035.000000000007</v>
      </c>
      <c r="E50" s="407">
        <f>+'Income Statement'!V51</f>
        <v>17035.000000000004</v>
      </c>
      <c r="F50" s="407">
        <f t="shared" si="5"/>
        <v>-10000.000000000004</v>
      </c>
    </row>
    <row r="51" spans="1:6" s="116" customFormat="1" ht="12.75" x14ac:dyDescent="0.2">
      <c r="A51" s="44"/>
      <c r="B51" s="44"/>
      <c r="C51" s="54" t="s">
        <v>56</v>
      </c>
      <c r="D51" s="406">
        <v>1730</v>
      </c>
      <c r="E51" s="406">
        <f>+'Income Statement'!V52</f>
        <v>1730</v>
      </c>
      <c r="F51" s="406">
        <f t="shared" si="5"/>
        <v>0</v>
      </c>
    </row>
    <row r="52" spans="1:6" s="116" customFormat="1" ht="12.75" x14ac:dyDescent="0.2">
      <c r="A52" s="45"/>
      <c r="B52" s="45"/>
      <c r="C52" s="58" t="s">
        <v>57</v>
      </c>
      <c r="D52" s="407">
        <v>0</v>
      </c>
      <c r="E52" s="407">
        <f>+'Income Statement'!V53</f>
        <v>0</v>
      </c>
      <c r="F52" s="407">
        <f t="shared" si="5"/>
        <v>0</v>
      </c>
    </row>
    <row r="53" spans="1:6" s="116" customFormat="1" ht="12.75" x14ac:dyDescent="0.2">
      <c r="A53" s="44"/>
      <c r="B53" s="44"/>
      <c r="C53" s="54" t="s">
        <v>58</v>
      </c>
      <c r="D53" s="415">
        <v>1428</v>
      </c>
      <c r="E53" s="415">
        <f>+'Income Statement'!V54</f>
        <v>1428</v>
      </c>
      <c r="F53" s="415">
        <f t="shared" si="5"/>
        <v>0</v>
      </c>
    </row>
    <row r="54" spans="1:6" s="116" customFormat="1" ht="12.75" x14ac:dyDescent="0.2">
      <c r="A54" s="28"/>
      <c r="B54" s="28"/>
      <c r="C54" s="61" t="s">
        <v>59</v>
      </c>
      <c r="D54" s="406">
        <v>41793</v>
      </c>
      <c r="E54" s="406">
        <f>+'Income Statement'!V55</f>
        <v>29393</v>
      </c>
      <c r="F54" s="406">
        <f t="shared" si="5"/>
        <v>-12400</v>
      </c>
    </row>
    <row r="55" spans="1:6" s="116" customFormat="1" ht="12.75" x14ac:dyDescent="0.2">
      <c r="A55" s="28"/>
      <c r="B55" s="28"/>
      <c r="C55" s="61" t="s">
        <v>60</v>
      </c>
      <c r="D55" s="421">
        <v>91215.301530000026</v>
      </c>
      <c r="E55" s="421">
        <f>+'Income Statement'!V56</f>
        <v>185194.69</v>
      </c>
      <c r="F55" s="421">
        <f t="shared" si="5"/>
        <v>93979.388469999976</v>
      </c>
    </row>
    <row r="56" spans="1:6" s="116" customFormat="1" ht="12.75" x14ac:dyDescent="0.2">
      <c r="A56" s="28"/>
      <c r="B56" s="28"/>
      <c r="C56" s="62"/>
      <c r="D56" s="408"/>
      <c r="E56" s="408"/>
      <c r="F56" s="408"/>
    </row>
    <row r="57" spans="1:6" s="116" customFormat="1" ht="12.75" x14ac:dyDescent="0.2">
      <c r="A57" s="102"/>
      <c r="B57" s="210" t="s">
        <v>61</v>
      </c>
      <c r="C57" s="210"/>
      <c r="D57" s="412">
        <v>25968.76552999999</v>
      </c>
      <c r="E57" s="412">
        <f>+'Income Statement'!V58</f>
        <v>-3609.8400099999999</v>
      </c>
      <c r="F57" s="412">
        <f t="shared" ref="F57" si="6">+E57-D57</f>
        <v>-29578.60553999999</v>
      </c>
    </row>
    <row r="58" spans="1:6" x14ac:dyDescent="0.25">
      <c r="A58"/>
      <c r="B58"/>
    </row>
    <row r="59" spans="1:6" x14ac:dyDescent="0.25">
      <c r="A59"/>
      <c r="B59"/>
    </row>
    <row r="60" spans="1:6" x14ac:dyDescent="0.25">
      <c r="A60"/>
      <c r="B60"/>
    </row>
    <row r="61" spans="1:6" x14ac:dyDescent="0.25">
      <c r="A61"/>
      <c r="B61"/>
    </row>
    <row r="62" spans="1:6" x14ac:dyDescent="0.25">
      <c r="A62"/>
      <c r="B62"/>
    </row>
    <row r="63" spans="1:6" x14ac:dyDescent="0.25">
      <c r="C63" s="21"/>
      <c r="F63" s="21"/>
    </row>
    <row r="64" spans="1:6" x14ac:dyDescent="0.25">
      <c r="C64" s="21"/>
      <c r="F64" s="21"/>
    </row>
    <row r="65" spans="3:6" x14ac:dyDescent="0.25">
      <c r="C65" s="21"/>
      <c r="D65" s="21"/>
      <c r="E65" s="21"/>
      <c r="F65" s="21"/>
    </row>
    <row r="66" spans="3:6" x14ac:dyDescent="0.25">
      <c r="C66" s="21"/>
      <c r="D66" s="21"/>
      <c r="E66" s="21"/>
      <c r="F66" s="21"/>
    </row>
    <row r="67" spans="3:6" x14ac:dyDescent="0.25">
      <c r="C67" s="21"/>
      <c r="D67" s="21"/>
      <c r="E67" s="21"/>
      <c r="F67" s="21"/>
    </row>
    <row r="68" spans="3:6" x14ac:dyDescent="0.25">
      <c r="C68" s="21"/>
      <c r="D68" s="21"/>
      <c r="E68" s="21"/>
      <c r="F68" s="21"/>
    </row>
    <row r="69" spans="3:6" x14ac:dyDescent="0.25">
      <c r="C69" s="21"/>
      <c r="D69" s="21"/>
      <c r="E69" s="21"/>
      <c r="F69" s="21"/>
    </row>
    <row r="70" spans="3:6" x14ac:dyDescent="0.25">
      <c r="C70" s="21"/>
      <c r="D70" s="21"/>
      <c r="E70" s="21"/>
      <c r="F70" s="21"/>
    </row>
    <row r="71" spans="3:6" x14ac:dyDescent="0.25">
      <c r="C71" s="21"/>
      <c r="D71" s="21"/>
      <c r="E71" s="21"/>
      <c r="F71" s="21"/>
    </row>
    <row r="72" spans="3:6" x14ac:dyDescent="0.25">
      <c r="C72" s="21"/>
      <c r="D72" s="21"/>
      <c r="E72" s="21"/>
      <c r="F72" s="21"/>
    </row>
    <row r="73" spans="3:6" x14ac:dyDescent="0.25">
      <c r="C73" s="21"/>
      <c r="D73" s="21"/>
      <c r="E73" s="21"/>
      <c r="F73" s="21"/>
    </row>
    <row r="74" spans="3:6" x14ac:dyDescent="0.25">
      <c r="C74" s="21"/>
      <c r="D74" s="21"/>
      <c r="E74" s="21"/>
      <c r="F74" s="21"/>
    </row>
    <row r="75" spans="3:6" x14ac:dyDescent="0.25">
      <c r="C75" s="21"/>
      <c r="D75" s="21"/>
      <c r="E75" s="21"/>
      <c r="F75" s="21"/>
    </row>
    <row r="76" spans="3:6" x14ac:dyDescent="0.25">
      <c r="C76" s="21"/>
      <c r="D76" s="21"/>
      <c r="E76" s="21"/>
      <c r="F76" s="21"/>
    </row>
    <row r="77" spans="3:6" x14ac:dyDescent="0.25">
      <c r="C77" s="21"/>
      <c r="D77" s="21"/>
      <c r="E77" s="21"/>
      <c r="F77" s="21"/>
    </row>
  </sheetData>
  <mergeCells count="3">
    <mergeCell ref="B57:C57"/>
    <mergeCell ref="B27:C27"/>
    <mergeCell ref="B29:C29"/>
  </mergeCells>
  <pageMargins left="1.2" right="0.7" top="0.5" bottom="0.25" header="0.3" footer="0.3"/>
  <pageSetup scale="86" fitToWidth="0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5076F-8352-4E45-A6A6-B764FEB3893D}">
  <sheetPr>
    <tabColor theme="5" tint="-0.499984740745262"/>
    <pageSetUpPr fitToPage="1"/>
  </sheetPr>
  <dimension ref="A1:K52"/>
  <sheetViews>
    <sheetView workbookViewId="0">
      <selection activeCell="F50" sqref="F50"/>
    </sheetView>
  </sheetViews>
  <sheetFormatPr defaultColWidth="9.140625" defaultRowHeight="12.75" x14ac:dyDescent="0.2"/>
  <cols>
    <col min="1" max="1" width="6.28515625" style="124" customWidth="1"/>
    <col min="2" max="2" width="4" style="124" customWidth="1"/>
    <col min="3" max="3" width="40.85546875" style="124" customWidth="1"/>
    <col min="4" max="6" width="21.140625" style="124" customWidth="1"/>
    <col min="7" max="9" width="24" style="124" customWidth="1"/>
    <col min="10" max="16384" width="9.140625" style="124"/>
  </cols>
  <sheetData>
    <row r="1" spans="1:11" ht="26.25" x14ac:dyDescent="0.4">
      <c r="A1" s="245" t="s">
        <v>64</v>
      </c>
      <c r="B1" s="246"/>
      <c r="C1" s="246"/>
      <c r="D1" s="246"/>
      <c r="E1" s="122"/>
      <c r="F1" s="123" t="s">
        <v>65</v>
      </c>
      <c r="G1" s="247" t="s">
        <v>66</v>
      </c>
      <c r="H1" s="247"/>
      <c r="I1" s="248"/>
    </row>
    <row r="2" spans="1:11" ht="26.25" x14ac:dyDescent="0.4">
      <c r="A2" s="249" t="s">
        <v>67</v>
      </c>
      <c r="B2" s="250"/>
      <c r="C2" s="250"/>
      <c r="D2" s="250"/>
      <c r="F2" s="125"/>
      <c r="G2" s="126"/>
      <c r="I2" s="127"/>
    </row>
    <row r="3" spans="1:11" ht="20.25" x14ac:dyDescent="0.3">
      <c r="A3" s="251"/>
      <c r="B3" s="252"/>
      <c r="C3" s="252"/>
      <c r="D3" s="252"/>
      <c r="F3" s="125"/>
      <c r="G3" s="126"/>
      <c r="I3" s="127"/>
    </row>
    <row r="4" spans="1:11" ht="20.25" x14ac:dyDescent="0.3">
      <c r="A4" s="251"/>
      <c r="B4" s="252"/>
      <c r="C4" s="252"/>
      <c r="D4" s="252"/>
      <c r="F4" s="125" t="s">
        <v>68</v>
      </c>
      <c r="G4" s="253" t="str">
        <f>'Income Statement'!U5</f>
        <v>Dec</v>
      </c>
      <c r="H4" s="253"/>
      <c r="I4" s="254"/>
    </row>
    <row r="5" spans="1:11" x14ac:dyDescent="0.2">
      <c r="A5" s="128" t="s">
        <v>69</v>
      </c>
      <c r="B5" s="129"/>
      <c r="C5" s="130"/>
      <c r="D5" s="130"/>
      <c r="E5" s="131"/>
      <c r="F5" s="130"/>
      <c r="G5" s="132"/>
      <c r="H5" s="130"/>
      <c r="I5" s="131"/>
    </row>
    <row r="6" spans="1:11" s="135" customFormat="1" ht="18" x14ac:dyDescent="0.25">
      <c r="A6" s="234" t="s">
        <v>70</v>
      </c>
      <c r="B6" s="235"/>
      <c r="C6" s="236" t="s">
        <v>71</v>
      </c>
      <c r="D6" s="236"/>
      <c r="E6" s="236"/>
      <c r="F6" s="236"/>
      <c r="G6" s="236"/>
      <c r="H6" s="133"/>
      <c r="I6" s="134"/>
    </row>
    <row r="7" spans="1:11" ht="31.5" customHeight="1" x14ac:dyDescent="0.2">
      <c r="A7" s="237"/>
      <c r="B7" s="238"/>
      <c r="C7" s="239"/>
      <c r="D7" s="240" t="s">
        <v>72</v>
      </c>
      <c r="E7" s="241"/>
      <c r="F7" s="242"/>
      <c r="G7" s="243" t="s">
        <v>73</v>
      </c>
      <c r="H7" s="241"/>
      <c r="I7" s="242"/>
    </row>
    <row r="8" spans="1:11" ht="15.75" customHeight="1" x14ac:dyDescent="0.2">
      <c r="A8" s="213"/>
      <c r="B8" s="214"/>
      <c r="C8" s="215"/>
      <c r="D8" s="240" t="s">
        <v>74</v>
      </c>
      <c r="E8" s="242"/>
      <c r="F8" s="136"/>
      <c r="G8" s="244" t="s">
        <v>74</v>
      </c>
      <c r="H8" s="242"/>
      <c r="I8" s="137"/>
    </row>
    <row r="9" spans="1:11" ht="15.75" customHeight="1" x14ac:dyDescent="0.2">
      <c r="A9" s="228"/>
      <c r="B9" s="229"/>
      <c r="C9" s="230"/>
      <c r="D9" s="138" t="s">
        <v>75</v>
      </c>
      <c r="E9" s="138" t="s">
        <v>76</v>
      </c>
      <c r="F9" s="139" t="s">
        <v>77</v>
      </c>
      <c r="G9" s="140" t="s">
        <v>75</v>
      </c>
      <c r="H9" s="138" t="s">
        <v>76</v>
      </c>
      <c r="I9" s="138" t="s">
        <v>78</v>
      </c>
    </row>
    <row r="10" spans="1:11" x14ac:dyDescent="0.2">
      <c r="A10" s="231" t="s">
        <v>79</v>
      </c>
      <c r="B10" s="232"/>
      <c r="C10" s="233"/>
      <c r="D10" s="141" t="s">
        <v>80</v>
      </c>
      <c r="E10" s="141" t="s">
        <v>81</v>
      </c>
      <c r="F10" s="142" t="s">
        <v>82</v>
      </c>
      <c r="G10" s="141" t="s">
        <v>83</v>
      </c>
      <c r="H10" s="141" t="s">
        <v>84</v>
      </c>
      <c r="I10" s="141" t="s">
        <v>85</v>
      </c>
      <c r="J10" s="143"/>
      <c r="K10" s="143"/>
    </row>
    <row r="11" spans="1:11" ht="13.5" thickBot="1" x14ac:dyDescent="0.25">
      <c r="A11" s="144"/>
      <c r="B11" s="143"/>
      <c r="C11" s="143"/>
      <c r="H11" s="145"/>
      <c r="I11" s="145"/>
    </row>
    <row r="12" spans="1:11" ht="18" x14ac:dyDescent="0.2">
      <c r="A12" s="146"/>
      <c r="B12" s="226" t="s">
        <v>86</v>
      </c>
      <c r="C12" s="227"/>
      <c r="D12" s="147"/>
      <c r="E12" s="147"/>
      <c r="F12" s="147"/>
      <c r="G12" s="147"/>
      <c r="H12" s="147"/>
      <c r="I12" s="147"/>
    </row>
    <row r="13" spans="1:11" ht="15" x14ac:dyDescent="0.2">
      <c r="A13" s="148">
        <v>1.1000000000000001</v>
      </c>
      <c r="B13" s="218" t="s">
        <v>87</v>
      </c>
      <c r="C13" s="219"/>
      <c r="D13" s="149"/>
      <c r="E13" s="149"/>
      <c r="F13" s="149"/>
      <c r="G13" s="150"/>
      <c r="H13" s="150"/>
      <c r="I13" s="150">
        <f>'Income Statement'!V35</f>
        <v>181584.85000000003</v>
      </c>
    </row>
    <row r="14" spans="1:11" ht="15" x14ac:dyDescent="0.2">
      <c r="A14" s="148">
        <v>1.2</v>
      </c>
      <c r="B14" s="218" t="s">
        <v>88</v>
      </c>
      <c r="C14" s="219"/>
      <c r="D14" s="149"/>
      <c r="E14" s="149"/>
      <c r="F14" s="149"/>
      <c r="G14" s="150"/>
      <c r="H14" s="150"/>
      <c r="I14" s="150"/>
    </row>
    <row r="15" spans="1:11" ht="15" x14ac:dyDescent="0.2">
      <c r="A15" s="148">
        <v>1.3</v>
      </c>
      <c r="B15" s="218" t="s">
        <v>89</v>
      </c>
      <c r="C15" s="219"/>
      <c r="D15" s="149"/>
      <c r="E15" s="149"/>
      <c r="F15" s="149"/>
      <c r="G15" s="150"/>
      <c r="H15" s="150"/>
      <c r="I15" s="150"/>
    </row>
    <row r="16" spans="1:11" ht="15" x14ac:dyDescent="0.2">
      <c r="A16" s="148">
        <v>1.4</v>
      </c>
      <c r="B16" s="218" t="s">
        <v>6</v>
      </c>
      <c r="C16" s="219"/>
      <c r="D16" s="149"/>
      <c r="E16" s="149"/>
      <c r="F16" s="149"/>
      <c r="G16" s="150">
        <v>38184</v>
      </c>
      <c r="H16" s="150">
        <f>15415-455</f>
        <v>14960</v>
      </c>
      <c r="I16" s="150">
        <f>'Income Statement'!V10</f>
        <v>65325.42</v>
      </c>
    </row>
    <row r="17" spans="1:9" ht="15" x14ac:dyDescent="0.2">
      <c r="A17" s="148">
        <v>1.5</v>
      </c>
      <c r="B17" s="218" t="s">
        <v>39</v>
      </c>
      <c r="C17" s="219"/>
      <c r="D17" s="149"/>
      <c r="E17" s="149"/>
      <c r="F17" s="149"/>
      <c r="G17" s="150">
        <v>3224</v>
      </c>
      <c r="H17" s="150">
        <v>731</v>
      </c>
      <c r="I17" s="150"/>
    </row>
    <row r="18" spans="1:9" ht="15" x14ac:dyDescent="0.2">
      <c r="A18" s="148">
        <v>1.6</v>
      </c>
      <c r="B18" s="218" t="s">
        <v>90</v>
      </c>
      <c r="C18" s="219"/>
      <c r="D18" s="149"/>
      <c r="E18" s="149"/>
      <c r="F18" s="149"/>
      <c r="G18" s="150">
        <v>34000</v>
      </c>
      <c r="H18" s="150">
        <v>15000</v>
      </c>
      <c r="I18" s="150">
        <f>'Income Statement'!V36</f>
        <v>0</v>
      </c>
    </row>
    <row r="19" spans="1:9" ht="15" x14ac:dyDescent="0.2">
      <c r="A19" s="148">
        <v>1.7</v>
      </c>
      <c r="B19" s="218" t="s">
        <v>91</v>
      </c>
      <c r="C19" s="219"/>
      <c r="D19" s="149"/>
      <c r="E19" s="149"/>
      <c r="F19" s="149"/>
      <c r="G19" s="150">
        <v>30682</v>
      </c>
      <c r="H19" s="150"/>
      <c r="I19" s="150"/>
    </row>
    <row r="20" spans="1:9" ht="15" x14ac:dyDescent="0.2">
      <c r="A20" s="148">
        <v>1.8</v>
      </c>
      <c r="B20" s="218" t="s">
        <v>92</v>
      </c>
      <c r="C20" s="219"/>
      <c r="D20" s="149"/>
      <c r="E20" s="149"/>
      <c r="F20" s="149"/>
      <c r="G20" s="150"/>
      <c r="H20" s="150"/>
      <c r="I20" s="150"/>
    </row>
    <row r="21" spans="1:9" ht="15" x14ac:dyDescent="0.2">
      <c r="A21" s="151"/>
      <c r="B21" s="220" t="s">
        <v>93</v>
      </c>
      <c r="C21" s="221"/>
      <c r="D21" s="152"/>
      <c r="E21" s="152"/>
      <c r="F21" s="152"/>
      <c r="G21" s="153"/>
      <c r="H21" s="153"/>
      <c r="I21" s="153"/>
    </row>
    <row r="22" spans="1:9" ht="15" x14ac:dyDescent="0.2">
      <c r="A22" s="148">
        <v>1.9</v>
      </c>
      <c r="B22" s="218" t="s">
        <v>94</v>
      </c>
      <c r="C22" s="219"/>
      <c r="D22" s="149"/>
      <c r="E22" s="149"/>
      <c r="F22" s="149"/>
      <c r="G22" s="150"/>
      <c r="H22" s="150"/>
      <c r="I22" s="150"/>
    </row>
    <row r="23" spans="1:9" ht="15" x14ac:dyDescent="0.2">
      <c r="A23" s="154" t="s">
        <v>95</v>
      </c>
      <c r="B23" s="218" t="s">
        <v>96</v>
      </c>
      <c r="C23" s="219"/>
      <c r="D23" s="149"/>
      <c r="E23" s="149"/>
      <c r="F23" s="149"/>
      <c r="G23" s="150"/>
      <c r="H23" s="150"/>
      <c r="I23" s="150"/>
    </row>
    <row r="24" spans="1:9" ht="15" x14ac:dyDescent="0.2">
      <c r="A24" s="154" t="s">
        <v>97</v>
      </c>
      <c r="B24" s="218" t="s">
        <v>98</v>
      </c>
      <c r="C24" s="219"/>
      <c r="D24" s="149"/>
      <c r="E24" s="149"/>
      <c r="F24" s="149"/>
      <c r="G24" s="150"/>
      <c r="H24" s="150"/>
      <c r="I24" s="150"/>
    </row>
    <row r="25" spans="1:9" ht="15.75" thickBot="1" x14ac:dyDescent="0.25">
      <c r="A25" s="155" t="s">
        <v>99</v>
      </c>
      <c r="B25" s="224"/>
      <c r="C25" s="225"/>
      <c r="D25" s="156"/>
      <c r="E25" s="156"/>
      <c r="F25" s="156"/>
      <c r="G25" s="157"/>
      <c r="H25" s="157"/>
      <c r="I25" s="157"/>
    </row>
    <row r="26" spans="1:9" ht="16.5" thickBot="1" x14ac:dyDescent="0.3">
      <c r="A26" s="158"/>
      <c r="B26" s="222" t="s">
        <v>100</v>
      </c>
      <c r="C26" s="223"/>
      <c r="D26" s="159">
        <f t="shared" ref="D26:I26" si="0">SUM(D22:D25,D13:D20)</f>
        <v>0</v>
      </c>
      <c r="E26" s="159">
        <f t="shared" si="0"/>
        <v>0</v>
      </c>
      <c r="F26" s="159">
        <f t="shared" si="0"/>
        <v>0</v>
      </c>
      <c r="G26" s="160">
        <f t="shared" si="0"/>
        <v>106090</v>
      </c>
      <c r="H26" s="160">
        <f t="shared" si="0"/>
        <v>30691</v>
      </c>
      <c r="I26" s="160">
        <f t="shared" si="0"/>
        <v>246910.27000000002</v>
      </c>
    </row>
    <row r="27" spans="1:9" ht="13.5" thickBot="1" x14ac:dyDescent="0.25">
      <c r="A27" s="161"/>
      <c r="B27" s="143"/>
      <c r="C27" s="143"/>
      <c r="G27" s="162"/>
      <c r="H27" s="163"/>
      <c r="I27" s="163"/>
    </row>
    <row r="28" spans="1:9" ht="18" x14ac:dyDescent="0.2">
      <c r="A28" s="146"/>
      <c r="B28" s="226" t="s">
        <v>101</v>
      </c>
      <c r="C28" s="227"/>
      <c r="D28" s="147"/>
      <c r="E28" s="147"/>
      <c r="F28" s="147"/>
      <c r="G28" s="164"/>
      <c r="H28" s="164"/>
      <c r="I28" s="164"/>
    </row>
    <row r="29" spans="1:9" ht="15" x14ac:dyDescent="0.2">
      <c r="A29" s="148">
        <v>2.1</v>
      </c>
      <c r="B29" s="218" t="s">
        <v>102</v>
      </c>
      <c r="C29" s="219"/>
      <c r="D29" s="149"/>
      <c r="E29" s="149"/>
      <c r="F29" s="149"/>
      <c r="G29" s="150">
        <v>22191</v>
      </c>
      <c r="H29" s="150">
        <v>18598</v>
      </c>
      <c r="I29" s="150">
        <f>'Income Statement'!V45</f>
        <v>155801.69</v>
      </c>
    </row>
    <row r="30" spans="1:9" ht="15" x14ac:dyDescent="0.2">
      <c r="A30" s="148">
        <v>2.2000000000000002</v>
      </c>
      <c r="B30" s="218" t="s">
        <v>103</v>
      </c>
      <c r="C30" s="219"/>
      <c r="D30" s="149"/>
      <c r="E30" s="149"/>
      <c r="F30" s="149"/>
      <c r="G30" s="150">
        <f>38020</f>
        <v>38020</v>
      </c>
      <c r="H30" s="150">
        <f>6239-175+33+240+3353+2375+431+24+251+974+514+128+1225+1824+530+1027</f>
        <v>18993</v>
      </c>
      <c r="I30" s="150">
        <f ca="1">'Income Statement'!V22+'Income Statement'!V23+'Income Statement'!V24+'Income Statement'!V26+'Income Statement'!V50+'Income Statement'!V51+'Income Statement'!V52+'Income Statement'!V54</f>
        <v>55931.81</v>
      </c>
    </row>
    <row r="31" spans="1:9" ht="15" x14ac:dyDescent="0.2">
      <c r="A31" s="148">
        <v>2.2999999999999998</v>
      </c>
      <c r="B31" s="218" t="s">
        <v>104</v>
      </c>
      <c r="C31" s="219"/>
      <c r="D31" s="149"/>
      <c r="E31" s="149"/>
      <c r="F31" s="149"/>
      <c r="G31" s="150">
        <v>6626</v>
      </c>
      <c r="H31" s="150"/>
      <c r="I31" s="150">
        <f>'Income Statement'!V49</f>
        <v>8000.0000000000009</v>
      </c>
    </row>
    <row r="32" spans="1:9" ht="15" x14ac:dyDescent="0.2">
      <c r="A32" s="148">
        <v>2.4</v>
      </c>
      <c r="B32" s="218" t="s">
        <v>105</v>
      </c>
      <c r="C32" s="219"/>
      <c r="D32" s="149"/>
      <c r="E32" s="149"/>
      <c r="F32" s="149"/>
      <c r="G32" s="150"/>
      <c r="H32" s="150"/>
      <c r="I32" s="150">
        <f>'Income Statement'!V25</f>
        <v>2400</v>
      </c>
    </row>
    <row r="33" spans="1:9" ht="15" x14ac:dyDescent="0.2">
      <c r="A33" s="148">
        <v>2.5</v>
      </c>
      <c r="B33" s="218" t="s">
        <v>106</v>
      </c>
      <c r="C33" s="219"/>
      <c r="D33" s="149"/>
      <c r="E33" s="149"/>
      <c r="F33" s="149"/>
      <c r="G33" s="150"/>
      <c r="H33" s="150"/>
      <c r="I33" s="150">
        <f>'Income Statement'!V53</f>
        <v>0</v>
      </c>
    </row>
    <row r="34" spans="1:9" ht="15" x14ac:dyDescent="0.2">
      <c r="A34" s="148">
        <v>2.6</v>
      </c>
      <c r="B34" s="218" t="s">
        <v>107</v>
      </c>
      <c r="C34" s="219"/>
      <c r="D34" s="156"/>
      <c r="E34" s="156"/>
      <c r="F34" s="156"/>
      <c r="G34" s="157">
        <v>23297</v>
      </c>
      <c r="H34" s="157">
        <v>5577</v>
      </c>
      <c r="I34" s="157">
        <f ca="1">'Income Statement'!V19</f>
        <v>32750.500000000004</v>
      </c>
    </row>
    <row r="35" spans="1:9" ht="15" x14ac:dyDescent="0.2">
      <c r="A35" s="148">
        <v>2.7</v>
      </c>
      <c r="B35" s="165" t="s">
        <v>108</v>
      </c>
      <c r="C35" s="166"/>
      <c r="D35" s="156"/>
      <c r="E35" s="156"/>
      <c r="F35" s="156"/>
      <c r="G35" s="157"/>
      <c r="H35" s="157"/>
      <c r="I35" s="157"/>
    </row>
    <row r="36" spans="1:9" ht="15" x14ac:dyDescent="0.2">
      <c r="A36" s="148">
        <v>2.8</v>
      </c>
      <c r="B36" s="218" t="s">
        <v>109</v>
      </c>
      <c r="C36" s="219"/>
      <c r="D36" s="156"/>
      <c r="E36" s="156"/>
      <c r="F36" s="156"/>
      <c r="G36" s="157"/>
      <c r="H36" s="157"/>
      <c r="I36" s="157">
        <f>'Income Statement'!V11*-1</f>
        <v>2500</v>
      </c>
    </row>
    <row r="37" spans="1:9" ht="15" x14ac:dyDescent="0.2">
      <c r="A37" s="151"/>
      <c r="B37" s="220" t="s">
        <v>110</v>
      </c>
      <c r="C37" s="221"/>
      <c r="D37" s="152"/>
      <c r="E37" s="152"/>
      <c r="F37" s="152"/>
      <c r="G37" s="153"/>
      <c r="H37" s="153"/>
      <c r="I37" s="153"/>
    </row>
    <row r="38" spans="1:9" ht="15" x14ac:dyDescent="0.2">
      <c r="A38" s="148">
        <v>2.9</v>
      </c>
      <c r="B38" s="218" t="s">
        <v>111</v>
      </c>
      <c r="C38" s="219"/>
      <c r="D38" s="156"/>
      <c r="E38" s="156"/>
      <c r="F38" s="156"/>
      <c r="G38" s="157"/>
      <c r="H38" s="157"/>
      <c r="I38" s="157"/>
    </row>
    <row r="39" spans="1:9" ht="15" x14ac:dyDescent="0.2">
      <c r="A39" s="154" t="s">
        <v>112</v>
      </c>
      <c r="B39" s="218" t="s">
        <v>113</v>
      </c>
      <c r="C39" s="219"/>
      <c r="D39" s="156"/>
      <c r="E39" s="156"/>
      <c r="F39" s="156"/>
      <c r="G39" s="157"/>
      <c r="H39" s="157"/>
      <c r="I39" s="157"/>
    </row>
    <row r="40" spans="1:9" ht="15" x14ac:dyDescent="0.2">
      <c r="A40" s="154" t="s">
        <v>114</v>
      </c>
      <c r="B40" s="218"/>
      <c r="C40" s="219"/>
      <c r="D40" s="156"/>
      <c r="E40" s="156"/>
      <c r="F40" s="156"/>
      <c r="G40" s="157"/>
      <c r="H40" s="157"/>
      <c r="I40" s="157"/>
    </row>
    <row r="41" spans="1:9" ht="15.75" thickBot="1" x14ac:dyDescent="0.25">
      <c r="A41" s="154" t="s">
        <v>115</v>
      </c>
      <c r="D41" s="156"/>
      <c r="E41" s="156"/>
      <c r="F41" s="156"/>
      <c r="G41" s="157"/>
      <c r="H41" s="157"/>
      <c r="I41" s="157"/>
    </row>
    <row r="42" spans="1:9" ht="16.5" thickBot="1" x14ac:dyDescent="0.3">
      <c r="A42" s="158"/>
      <c r="B42" s="222" t="s">
        <v>116</v>
      </c>
      <c r="C42" s="223"/>
      <c r="D42" s="159">
        <f t="shared" ref="D42:I42" si="1">SUM(D38:D41,D29:D36)</f>
        <v>0</v>
      </c>
      <c r="E42" s="159">
        <f t="shared" si="1"/>
        <v>0</v>
      </c>
      <c r="F42" s="159">
        <f t="shared" si="1"/>
        <v>0</v>
      </c>
      <c r="G42" s="160">
        <f t="shared" si="1"/>
        <v>90134</v>
      </c>
      <c r="H42" s="160">
        <f t="shared" si="1"/>
        <v>43168</v>
      </c>
      <c r="I42" s="160">
        <f t="shared" ca="1" si="1"/>
        <v>257384</v>
      </c>
    </row>
    <row r="43" spans="1:9" ht="13.5" thickBot="1" x14ac:dyDescent="0.25">
      <c r="A43" s="161"/>
      <c r="B43" s="143"/>
      <c r="C43" s="143"/>
      <c r="G43" s="162"/>
      <c r="H43" s="163"/>
      <c r="I43" s="163"/>
    </row>
    <row r="44" spans="1:9" ht="16.5" thickBot="1" x14ac:dyDescent="0.3">
      <c r="A44" s="167"/>
      <c r="B44" s="211" t="s">
        <v>117</v>
      </c>
      <c r="C44" s="212"/>
      <c r="D44" s="168"/>
      <c r="E44" s="168"/>
      <c r="F44" s="168"/>
      <c r="G44" s="169">
        <f>+G26-G42</f>
        <v>15956</v>
      </c>
      <c r="H44" s="169">
        <f>+H26-H42</f>
        <v>-12477</v>
      </c>
      <c r="I44" s="169">
        <f ca="1">+I26-I42</f>
        <v>-10473.729999999981</v>
      </c>
    </row>
    <row r="45" spans="1:9" ht="13.5" thickTop="1" x14ac:dyDescent="0.2">
      <c r="A45" s="170"/>
      <c r="B45" s="171"/>
      <c r="C45" s="171"/>
      <c r="D45" s="171"/>
      <c r="E45" s="171"/>
      <c r="F45" s="171"/>
      <c r="G45" s="171"/>
      <c r="H45" s="171"/>
      <c r="I45" s="172"/>
    </row>
    <row r="46" spans="1:9" x14ac:dyDescent="0.2">
      <c r="A46" s="213" t="s">
        <v>118</v>
      </c>
      <c r="B46" s="214"/>
      <c r="C46" s="214"/>
      <c r="D46" s="214"/>
      <c r="E46" s="214"/>
      <c r="F46" s="214"/>
      <c r="G46" s="214"/>
      <c r="H46" s="214"/>
      <c r="I46" s="215"/>
    </row>
    <row r="47" spans="1:9" x14ac:dyDescent="0.2">
      <c r="A47" s="216"/>
      <c r="B47" s="217"/>
      <c r="C47" s="217"/>
      <c r="D47" s="217"/>
      <c r="E47" s="217"/>
      <c r="F47" s="217"/>
      <c r="G47" s="217"/>
      <c r="H47" s="130"/>
      <c r="I47" s="131"/>
    </row>
    <row r="49" spans="7:8" x14ac:dyDescent="0.2">
      <c r="H49" s="173">
        <f>11027-70360+46857-H44</f>
        <v>1</v>
      </c>
    </row>
    <row r="52" spans="7:8" x14ac:dyDescent="0.2">
      <c r="G52" s="173"/>
    </row>
  </sheetData>
  <mergeCells count="46">
    <mergeCell ref="A1:D1"/>
    <mergeCell ref="G1:I1"/>
    <mergeCell ref="A2:D2"/>
    <mergeCell ref="A3:D3"/>
    <mergeCell ref="A4:D4"/>
    <mergeCell ref="G4:I4"/>
    <mergeCell ref="A6:B6"/>
    <mergeCell ref="C6:G6"/>
    <mergeCell ref="A7:C8"/>
    <mergeCell ref="D7:F7"/>
    <mergeCell ref="G7:I7"/>
    <mergeCell ref="D8:E8"/>
    <mergeCell ref="G8:H8"/>
    <mergeCell ref="B21:C21"/>
    <mergeCell ref="A9:C9"/>
    <mergeCell ref="A10:C10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34:C34"/>
    <mergeCell ref="B22:C22"/>
    <mergeCell ref="B23:C23"/>
    <mergeCell ref="B24:C24"/>
    <mergeCell ref="B25:C25"/>
    <mergeCell ref="B26:C26"/>
    <mergeCell ref="B28:C28"/>
    <mergeCell ref="B29:C29"/>
    <mergeCell ref="B30:C30"/>
    <mergeCell ref="B31:C31"/>
    <mergeCell ref="B32:C32"/>
    <mergeCell ref="B33:C33"/>
    <mergeCell ref="B44:C44"/>
    <mergeCell ref="A46:I46"/>
    <mergeCell ref="A47:G47"/>
    <mergeCell ref="B36:C36"/>
    <mergeCell ref="B37:C37"/>
    <mergeCell ref="B38:C38"/>
    <mergeCell ref="B39:C39"/>
    <mergeCell ref="B40:C40"/>
    <mergeCell ref="B42:C42"/>
  </mergeCells>
  <pageMargins left="0.7" right="0.7" top="0.75" bottom="0.75" header="0.3" footer="0.3"/>
  <pageSetup scale="69" fitToHeight="0" orientation="landscape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87905-5DD1-4DA3-BE65-C4EC25970AF6}">
  <sheetPr>
    <tabColor theme="5" tint="-0.499984740745262"/>
  </sheetPr>
  <dimension ref="A1:AD62"/>
  <sheetViews>
    <sheetView zoomScale="130" zoomScaleNormal="130" workbookViewId="0">
      <selection activeCell="D21" sqref="D21"/>
    </sheetView>
  </sheetViews>
  <sheetFormatPr defaultColWidth="8.85546875" defaultRowHeight="15" x14ac:dyDescent="0.25"/>
  <cols>
    <col min="1" max="6" width="3" style="189" customWidth="1"/>
    <col min="7" max="7" width="26.42578125" style="189" customWidth="1"/>
    <col min="8" max="8" width="7.85546875" bestFit="1" customWidth="1"/>
    <col min="9" max="9" width="7.42578125" bestFit="1" customWidth="1"/>
    <col min="10" max="11" width="7.85546875" bestFit="1" customWidth="1"/>
    <col min="12" max="12" width="7" bestFit="1" customWidth="1"/>
    <col min="13" max="13" width="7.85546875" bestFit="1" customWidth="1"/>
    <col min="14" max="14" width="7" bestFit="1" customWidth="1"/>
    <col min="15" max="15" width="7.42578125" bestFit="1" customWidth="1"/>
    <col min="16" max="16" width="8.42578125" bestFit="1" customWidth="1"/>
    <col min="17" max="17" width="5.7109375" bestFit="1" customWidth="1"/>
    <col min="18" max="18" width="2.28515625" customWidth="1"/>
    <col min="19" max="19" width="6" bestFit="1" customWidth="1"/>
    <col min="20" max="20" width="2.28515625" customWidth="1"/>
    <col min="21" max="21" width="6" bestFit="1" customWidth="1"/>
    <col min="22" max="22" width="2.28515625" customWidth="1"/>
    <col min="23" max="23" width="7.85546875" bestFit="1" customWidth="1"/>
    <col min="26" max="28" width="11.28515625" bestFit="1" customWidth="1"/>
    <col min="29" max="29" width="10.28515625" customWidth="1"/>
    <col min="30" max="30" width="11.5703125" bestFit="1" customWidth="1"/>
    <col min="31" max="31" width="10.28515625" customWidth="1"/>
  </cols>
  <sheetData>
    <row r="1" spans="1:30" s="183" customFormat="1" ht="15.75" thickBot="1" x14ac:dyDescent="0.3">
      <c r="A1" s="180"/>
      <c r="B1" s="180"/>
      <c r="C1" s="180"/>
      <c r="D1" s="180"/>
      <c r="E1" s="180"/>
      <c r="F1" s="180"/>
      <c r="G1" s="180"/>
      <c r="H1" s="181" t="s">
        <v>120</v>
      </c>
      <c r="I1" s="181" t="s">
        <v>121</v>
      </c>
      <c r="J1" s="181" t="s">
        <v>122</v>
      </c>
      <c r="K1" s="181" t="s">
        <v>123</v>
      </c>
      <c r="L1" s="181" t="s">
        <v>124</v>
      </c>
      <c r="M1" s="181" t="s">
        <v>125</v>
      </c>
      <c r="N1" s="181" t="s">
        <v>126</v>
      </c>
      <c r="O1" s="181" t="s">
        <v>127</v>
      </c>
      <c r="P1" s="181" t="s">
        <v>128</v>
      </c>
      <c r="Q1" s="181" t="s">
        <v>129</v>
      </c>
      <c r="R1" s="182"/>
      <c r="S1" s="181" t="s">
        <v>130</v>
      </c>
      <c r="T1" s="182"/>
      <c r="U1" s="181" t="s">
        <v>131</v>
      </c>
      <c r="V1" s="182"/>
      <c r="W1" s="181" t="s">
        <v>132</v>
      </c>
    </row>
    <row r="2" spans="1:30" ht="15.75" thickTop="1" x14ac:dyDescent="0.25">
      <c r="A2" s="22"/>
      <c r="B2" s="22" t="s">
        <v>133</v>
      </c>
      <c r="C2" s="22"/>
      <c r="D2" s="22"/>
      <c r="E2" s="22"/>
      <c r="F2" s="22"/>
      <c r="G2" s="22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23"/>
      <c r="S2" s="184"/>
      <c r="T2" s="23"/>
      <c r="U2" s="184"/>
      <c r="V2" s="23"/>
      <c r="W2" s="184"/>
    </row>
    <row r="3" spans="1:30" x14ac:dyDescent="0.25">
      <c r="A3" s="22"/>
      <c r="B3" s="22"/>
      <c r="C3" s="22"/>
      <c r="D3" s="22" t="s">
        <v>35</v>
      </c>
      <c r="E3" s="22"/>
      <c r="F3" s="22"/>
      <c r="G3" s="22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23"/>
      <c r="S3" s="184"/>
      <c r="T3" s="23"/>
      <c r="U3" s="184"/>
      <c r="V3" s="23"/>
      <c r="W3" s="184"/>
      <c r="Z3" s="34">
        <v>44500</v>
      </c>
      <c r="AA3" s="34">
        <v>44530</v>
      </c>
      <c r="AB3" s="34">
        <v>44561</v>
      </c>
    </row>
    <row r="4" spans="1:30" x14ac:dyDescent="0.25">
      <c r="A4" s="22"/>
      <c r="B4" s="22"/>
      <c r="C4" s="22"/>
      <c r="D4" s="22"/>
      <c r="E4" s="22" t="s">
        <v>134</v>
      </c>
      <c r="F4" s="22"/>
      <c r="G4" s="22"/>
      <c r="H4" s="184">
        <v>28118.9</v>
      </c>
      <c r="I4" s="184">
        <v>7220.83</v>
      </c>
      <c r="J4" s="184">
        <v>1415.9</v>
      </c>
      <c r="K4" s="184">
        <v>0</v>
      </c>
      <c r="L4" s="184">
        <v>1093.75</v>
      </c>
      <c r="M4" s="184">
        <v>2846.16</v>
      </c>
      <c r="N4" s="184">
        <v>1331.98</v>
      </c>
      <c r="O4" s="184">
        <v>860.61</v>
      </c>
      <c r="P4" s="184">
        <v>0</v>
      </c>
      <c r="Q4" s="184">
        <v>0</v>
      </c>
      <c r="R4" s="23"/>
      <c r="S4" s="184">
        <v>0</v>
      </c>
      <c r="T4" s="23"/>
      <c r="U4" s="184">
        <v>0</v>
      </c>
      <c r="V4" s="23"/>
      <c r="W4" s="190">
        <f>ROUND(SUM(H4:U4),5)</f>
        <v>42888.13</v>
      </c>
      <c r="Z4">
        <v>2768.62</v>
      </c>
      <c r="AA4">
        <v>2345.85</v>
      </c>
      <c r="AB4">
        <v>68613.53</v>
      </c>
      <c r="AD4" s="195">
        <f>SUM(Z4:AC4)+W4</f>
        <v>116616.13</v>
      </c>
    </row>
    <row r="5" spans="1:30" x14ac:dyDescent="0.25">
      <c r="A5" s="22"/>
      <c r="B5" s="22"/>
      <c r="C5" s="22"/>
      <c r="D5" s="22"/>
      <c r="E5" s="22" t="s">
        <v>6</v>
      </c>
      <c r="F5" s="22"/>
      <c r="G5" s="22"/>
      <c r="H5" s="196">
        <f t="shared" ref="H5:P5" si="0">H4/$AD$4</f>
        <v>0.24112359070739187</v>
      </c>
      <c r="I5" s="196">
        <f t="shared" si="0"/>
        <v>6.1919650394846745E-2</v>
      </c>
      <c r="J5" s="196">
        <f t="shared" si="0"/>
        <v>1.2141545084715126E-2</v>
      </c>
      <c r="K5" s="196">
        <f t="shared" si="0"/>
        <v>0</v>
      </c>
      <c r="L5" s="196">
        <f t="shared" si="0"/>
        <v>9.3790627420066164E-3</v>
      </c>
      <c r="M5" s="196">
        <f t="shared" si="0"/>
        <v>2.4406229224036159E-2</v>
      </c>
      <c r="N5" s="196">
        <f t="shared" si="0"/>
        <v>1.1421919077575289E-2</v>
      </c>
      <c r="O5" s="196">
        <f t="shared" si="0"/>
        <v>7.3798538847070294E-3</v>
      </c>
      <c r="P5" s="196">
        <f t="shared" si="0"/>
        <v>0</v>
      </c>
      <c r="Q5" s="184"/>
      <c r="R5" s="23"/>
      <c r="S5" s="184"/>
      <c r="T5" s="23"/>
      <c r="U5" s="184"/>
      <c r="V5" s="23"/>
      <c r="W5" s="184"/>
      <c r="Z5" s="196">
        <f>Z4/$AD$4</f>
        <v>2.3741312629736555E-2</v>
      </c>
      <c r="AA5" s="196">
        <f>AA4/$AD$4</f>
        <v>2.0115999390478829E-2</v>
      </c>
      <c r="AB5" s="196">
        <f>AB4/$AD$4</f>
        <v>0.58837083686450575</v>
      </c>
    </row>
    <row r="6" spans="1:30" x14ac:dyDescent="0.25">
      <c r="A6" s="22"/>
      <c r="B6" s="22"/>
      <c r="C6" s="22"/>
      <c r="D6" s="22"/>
      <c r="E6" s="22"/>
      <c r="F6" s="22" t="s">
        <v>135</v>
      </c>
      <c r="G6" s="22"/>
      <c r="H6" s="184">
        <v>0</v>
      </c>
      <c r="I6" s="184">
        <v>0</v>
      </c>
      <c r="J6" s="184">
        <v>0</v>
      </c>
      <c r="K6" s="184">
        <v>0</v>
      </c>
      <c r="L6" s="184">
        <v>0</v>
      </c>
      <c r="M6" s="184">
        <v>0</v>
      </c>
      <c r="N6" s="184">
        <v>524</v>
      </c>
      <c r="O6" s="184">
        <v>0</v>
      </c>
      <c r="P6" s="184">
        <v>0</v>
      </c>
      <c r="Q6" s="184">
        <v>0</v>
      </c>
      <c r="R6" s="23"/>
      <c r="S6" s="184">
        <v>0</v>
      </c>
      <c r="T6" s="23"/>
      <c r="U6" s="184">
        <v>0</v>
      </c>
      <c r="V6" s="23"/>
      <c r="W6" s="190">
        <f t="shared" ref="W6:W11" si="1">ROUND(SUM(H6:U6),5)</f>
        <v>524</v>
      </c>
    </row>
    <row r="7" spans="1:30" x14ac:dyDescent="0.25">
      <c r="A7" s="22"/>
      <c r="B7" s="22"/>
      <c r="C7" s="22"/>
      <c r="D7" s="22"/>
      <c r="E7" s="22"/>
      <c r="F7" s="22" t="s">
        <v>136</v>
      </c>
      <c r="G7" s="22"/>
      <c r="H7" s="184">
        <v>0</v>
      </c>
      <c r="I7" s="184">
        <v>0</v>
      </c>
      <c r="J7" s="184">
        <v>0</v>
      </c>
      <c r="K7" s="184">
        <v>0</v>
      </c>
      <c r="L7" s="184">
        <v>965</v>
      </c>
      <c r="M7" s="184">
        <v>3359.85</v>
      </c>
      <c r="N7" s="184">
        <v>0</v>
      </c>
      <c r="O7" s="184">
        <v>0</v>
      </c>
      <c r="P7" s="184">
        <v>0</v>
      </c>
      <c r="Q7" s="184">
        <v>0</v>
      </c>
      <c r="R7" s="23"/>
      <c r="S7" s="184">
        <v>0</v>
      </c>
      <c r="T7" s="23"/>
      <c r="U7" s="184">
        <v>0</v>
      </c>
      <c r="V7" s="23"/>
      <c r="W7" s="190">
        <f t="shared" si="1"/>
        <v>4324.8500000000004</v>
      </c>
    </row>
    <row r="8" spans="1:30" x14ac:dyDescent="0.25">
      <c r="A8" s="22"/>
      <c r="B8" s="22"/>
      <c r="C8" s="22"/>
      <c r="D8" s="22"/>
      <c r="E8" s="22"/>
      <c r="F8" s="22" t="s">
        <v>137</v>
      </c>
      <c r="G8" s="22"/>
      <c r="H8" s="184">
        <v>0</v>
      </c>
      <c r="I8" s="184">
        <v>1960</v>
      </c>
      <c r="J8" s="184">
        <v>11835</v>
      </c>
      <c r="K8" s="184">
        <v>10690</v>
      </c>
      <c r="L8" s="184">
        <v>4785</v>
      </c>
      <c r="M8" s="184">
        <v>756</v>
      </c>
      <c r="N8" s="184">
        <v>0</v>
      </c>
      <c r="O8" s="184">
        <v>0</v>
      </c>
      <c r="P8" s="184">
        <v>0</v>
      </c>
      <c r="Q8" s="184">
        <v>0</v>
      </c>
      <c r="R8" s="23"/>
      <c r="S8" s="184">
        <v>0</v>
      </c>
      <c r="T8" s="23"/>
      <c r="U8" s="184">
        <v>0</v>
      </c>
      <c r="V8" s="23"/>
      <c r="W8" s="190">
        <f t="shared" si="1"/>
        <v>30026</v>
      </c>
    </row>
    <row r="9" spans="1:30" ht="15.75" thickBot="1" x14ac:dyDescent="0.3">
      <c r="A9" s="22"/>
      <c r="B9" s="22"/>
      <c r="C9" s="22"/>
      <c r="D9" s="22"/>
      <c r="E9" s="22"/>
      <c r="F9" s="22" t="s">
        <v>138</v>
      </c>
      <c r="G9" s="22"/>
      <c r="H9" s="185">
        <v>0</v>
      </c>
      <c r="I9" s="185">
        <v>0</v>
      </c>
      <c r="J9" s="185">
        <v>0</v>
      </c>
      <c r="K9" s="185">
        <v>465</v>
      </c>
      <c r="L9" s="185">
        <v>500</v>
      </c>
      <c r="M9" s="185">
        <v>5490</v>
      </c>
      <c r="N9" s="185">
        <v>6735</v>
      </c>
      <c r="O9" s="185">
        <v>6383.29</v>
      </c>
      <c r="P9" s="185">
        <v>140</v>
      </c>
      <c r="Q9" s="185">
        <v>0</v>
      </c>
      <c r="R9" s="23"/>
      <c r="S9" s="185">
        <v>0</v>
      </c>
      <c r="T9" s="23"/>
      <c r="U9" s="185">
        <v>0</v>
      </c>
      <c r="V9" s="23"/>
      <c r="W9" s="191">
        <f t="shared" si="1"/>
        <v>19713.29</v>
      </c>
    </row>
    <row r="10" spans="1:30" x14ac:dyDescent="0.25">
      <c r="A10" s="22"/>
      <c r="B10" s="22"/>
      <c r="C10" s="22"/>
      <c r="D10" s="22"/>
      <c r="E10" s="22" t="s">
        <v>139</v>
      </c>
      <c r="F10" s="22"/>
      <c r="G10" s="22"/>
      <c r="H10" s="184">
        <f t="shared" ref="H10:Q10" si="2">ROUND(SUM(H5:H9),5)</f>
        <v>0.24112</v>
      </c>
      <c r="I10" s="184">
        <f t="shared" si="2"/>
        <v>1960.0619200000001</v>
      </c>
      <c r="J10" s="184">
        <f t="shared" si="2"/>
        <v>11835.012140000001</v>
      </c>
      <c r="K10" s="184">
        <f t="shared" si="2"/>
        <v>11155</v>
      </c>
      <c r="L10" s="184">
        <f t="shared" si="2"/>
        <v>6250.0093800000004</v>
      </c>
      <c r="M10" s="184">
        <f t="shared" si="2"/>
        <v>9605.8744100000004</v>
      </c>
      <c r="N10" s="184">
        <f t="shared" si="2"/>
        <v>7259.0114199999998</v>
      </c>
      <c r="O10" s="184">
        <f t="shared" si="2"/>
        <v>6383.29738</v>
      </c>
      <c r="P10" s="184">
        <f t="shared" si="2"/>
        <v>140</v>
      </c>
      <c r="Q10" s="184">
        <f t="shared" si="2"/>
        <v>0</v>
      </c>
      <c r="R10" s="23"/>
      <c r="S10" s="184">
        <f>ROUND(SUM(S5:S9),5)</f>
        <v>0</v>
      </c>
      <c r="T10" s="23"/>
      <c r="U10" s="184">
        <f>ROUND(SUM(U5:U9),5)</f>
        <v>0</v>
      </c>
      <c r="V10" s="23"/>
      <c r="W10" s="190">
        <f t="shared" si="1"/>
        <v>54588.507769999997</v>
      </c>
    </row>
    <row r="11" spans="1:30" x14ac:dyDescent="0.25">
      <c r="A11" s="22"/>
      <c r="B11" s="22"/>
      <c r="C11" s="22"/>
      <c r="D11" s="22"/>
      <c r="E11" s="22" t="s">
        <v>39</v>
      </c>
      <c r="F11" s="22"/>
      <c r="G11" s="22"/>
      <c r="H11" s="184">
        <v>16.39</v>
      </c>
      <c r="I11" s="184">
        <v>25.57</v>
      </c>
      <c r="J11" s="184">
        <v>33.83</v>
      </c>
      <c r="K11" s="184">
        <v>1007.89</v>
      </c>
      <c r="L11" s="184">
        <v>53.02</v>
      </c>
      <c r="M11" s="184">
        <v>73.98</v>
      </c>
      <c r="N11" s="184">
        <v>114.06</v>
      </c>
      <c r="O11" s="184">
        <v>156.11000000000001</v>
      </c>
      <c r="P11" s="184">
        <v>0</v>
      </c>
      <c r="Q11" s="184">
        <v>0</v>
      </c>
      <c r="R11" s="23"/>
      <c r="S11" s="184">
        <v>0</v>
      </c>
      <c r="T11" s="23"/>
      <c r="U11" s="184">
        <v>0</v>
      </c>
      <c r="V11" s="23"/>
      <c r="W11" s="190">
        <f t="shared" si="1"/>
        <v>1480.85</v>
      </c>
    </row>
    <row r="12" spans="1:30" x14ac:dyDescent="0.25">
      <c r="A12" s="22"/>
      <c r="B12" s="22"/>
      <c r="C12" s="22"/>
      <c r="D12" s="22"/>
      <c r="E12" s="22" t="s">
        <v>140</v>
      </c>
      <c r="F12" s="22"/>
      <c r="G12" s="22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23"/>
      <c r="S12" s="184"/>
      <c r="T12" s="23"/>
      <c r="U12" s="184"/>
      <c r="V12" s="23"/>
      <c r="W12" s="184"/>
    </row>
    <row r="13" spans="1:30" ht="15.75" thickBot="1" x14ac:dyDescent="0.3">
      <c r="A13" s="22"/>
      <c r="B13" s="22"/>
      <c r="C13" s="22"/>
      <c r="D13" s="22"/>
      <c r="E13" s="22"/>
      <c r="F13" s="22" t="s">
        <v>141</v>
      </c>
      <c r="G13" s="22"/>
      <c r="H13" s="184">
        <v>0</v>
      </c>
      <c r="I13" s="184">
        <v>471.44</v>
      </c>
      <c r="J13" s="184">
        <v>0</v>
      </c>
      <c r="K13" s="184">
        <v>0</v>
      </c>
      <c r="L13" s="184">
        <v>0</v>
      </c>
      <c r="M13" s="184">
        <v>0</v>
      </c>
      <c r="N13" s="184">
        <v>0</v>
      </c>
      <c r="O13" s="184">
        <v>0</v>
      </c>
      <c r="P13" s="184">
        <v>0</v>
      </c>
      <c r="Q13" s="184">
        <v>0</v>
      </c>
      <c r="R13" s="23"/>
      <c r="S13" s="184">
        <v>0</v>
      </c>
      <c r="T13" s="23"/>
      <c r="U13" s="184">
        <v>0</v>
      </c>
      <c r="V13" s="23"/>
      <c r="W13" s="190">
        <f>ROUND(SUM(H13:U13),5)</f>
        <v>471.44</v>
      </c>
    </row>
    <row r="14" spans="1:30" ht="15.75" thickBot="1" x14ac:dyDescent="0.3">
      <c r="A14" s="22"/>
      <c r="B14" s="22"/>
      <c r="C14" s="22"/>
      <c r="D14" s="22"/>
      <c r="E14" s="22" t="s">
        <v>142</v>
      </c>
      <c r="F14" s="22"/>
      <c r="G14" s="22"/>
      <c r="H14" s="186">
        <f t="shared" ref="H14:Q14" si="3">ROUND(SUM(H12:H13),5)</f>
        <v>0</v>
      </c>
      <c r="I14" s="186">
        <f t="shared" si="3"/>
        <v>471.44</v>
      </c>
      <c r="J14" s="186">
        <f t="shared" si="3"/>
        <v>0</v>
      </c>
      <c r="K14" s="186">
        <f t="shared" si="3"/>
        <v>0</v>
      </c>
      <c r="L14" s="186">
        <f t="shared" si="3"/>
        <v>0</v>
      </c>
      <c r="M14" s="186">
        <f t="shared" si="3"/>
        <v>0</v>
      </c>
      <c r="N14" s="186">
        <f t="shared" si="3"/>
        <v>0</v>
      </c>
      <c r="O14" s="186">
        <f t="shared" si="3"/>
        <v>0</v>
      </c>
      <c r="P14" s="186">
        <f t="shared" si="3"/>
        <v>0</v>
      </c>
      <c r="Q14" s="186">
        <f t="shared" si="3"/>
        <v>0</v>
      </c>
      <c r="R14" s="23"/>
      <c r="S14" s="186">
        <f>ROUND(SUM(S12:S13),5)</f>
        <v>0</v>
      </c>
      <c r="T14" s="23"/>
      <c r="U14" s="186">
        <f>ROUND(SUM(U12:U13),5)</f>
        <v>0</v>
      </c>
      <c r="V14" s="23"/>
      <c r="W14" s="192">
        <f>ROUND(SUM(H14:U14),5)</f>
        <v>471.44</v>
      </c>
    </row>
    <row r="15" spans="1:30" x14ac:dyDescent="0.25">
      <c r="A15" s="22"/>
      <c r="B15" s="22"/>
      <c r="C15" s="22"/>
      <c r="D15" s="22" t="s">
        <v>40</v>
      </c>
      <c r="E15" s="22"/>
      <c r="F15" s="22"/>
      <c r="G15" s="22"/>
      <c r="H15" s="184">
        <f t="shared" ref="H15:Q15" si="4">ROUND(SUM(H3:H4)+SUM(H10:H11)+H14,5)</f>
        <v>28135.53112</v>
      </c>
      <c r="I15" s="184">
        <f t="shared" si="4"/>
        <v>9677.9019200000002</v>
      </c>
      <c r="J15" s="184">
        <f t="shared" si="4"/>
        <v>13284.74214</v>
      </c>
      <c r="K15" s="184">
        <f t="shared" si="4"/>
        <v>12162.89</v>
      </c>
      <c r="L15" s="184">
        <f t="shared" si="4"/>
        <v>7396.7793799999999</v>
      </c>
      <c r="M15" s="184">
        <f t="shared" si="4"/>
        <v>12526.01441</v>
      </c>
      <c r="N15" s="184">
        <f t="shared" si="4"/>
        <v>8705.0514199999998</v>
      </c>
      <c r="O15" s="184">
        <f t="shared" si="4"/>
        <v>7400.0173800000002</v>
      </c>
      <c r="P15" s="184">
        <f t="shared" si="4"/>
        <v>140</v>
      </c>
      <c r="Q15" s="184">
        <f t="shared" si="4"/>
        <v>0</v>
      </c>
      <c r="R15" s="23"/>
      <c r="S15" s="184">
        <f>ROUND(SUM(S3:S4)+SUM(S10:S11)+S14,5)</f>
        <v>0</v>
      </c>
      <c r="T15" s="23"/>
      <c r="U15" s="184">
        <f>ROUND(SUM(U3:U4)+SUM(U10:U11)+U14,5)</f>
        <v>0</v>
      </c>
      <c r="V15" s="23"/>
      <c r="W15" s="184">
        <f>ROUND(SUM(H15:U15),5)</f>
        <v>99428.927769999995</v>
      </c>
    </row>
    <row r="16" spans="1:30" x14ac:dyDescent="0.25">
      <c r="A16" s="22"/>
      <c r="B16" s="22"/>
      <c r="C16" s="22"/>
      <c r="D16" s="22" t="s">
        <v>11</v>
      </c>
      <c r="E16" s="22"/>
      <c r="F16" s="22"/>
      <c r="G16" s="22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23"/>
      <c r="S16" s="184"/>
      <c r="T16" s="23"/>
      <c r="U16" s="184"/>
      <c r="V16" s="23"/>
      <c r="W16" s="184"/>
    </row>
    <row r="17" spans="1:23" x14ac:dyDescent="0.25">
      <c r="A17" s="22"/>
      <c r="B17" s="22"/>
      <c r="C17" s="22"/>
      <c r="D17" s="22"/>
      <c r="E17" s="22" t="s">
        <v>13</v>
      </c>
      <c r="F17" s="22"/>
      <c r="G17" s="22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23"/>
      <c r="S17" s="184"/>
      <c r="T17" s="23"/>
      <c r="U17" s="184"/>
      <c r="V17" s="23"/>
      <c r="W17" s="184"/>
    </row>
    <row r="18" spans="1:23" x14ac:dyDescent="0.25">
      <c r="A18" s="22"/>
      <c r="B18" s="22"/>
      <c r="C18" s="22"/>
      <c r="D18" s="22"/>
      <c r="E18" s="22"/>
      <c r="F18" s="22" t="s">
        <v>15</v>
      </c>
      <c r="G18" s="22"/>
      <c r="H18" s="184">
        <v>0</v>
      </c>
      <c r="I18" s="184">
        <v>200</v>
      </c>
      <c r="J18" s="184">
        <v>0</v>
      </c>
      <c r="K18" s="184">
        <v>490</v>
      </c>
      <c r="L18" s="184">
        <v>117</v>
      </c>
      <c r="M18" s="184">
        <v>552</v>
      </c>
      <c r="N18" s="184">
        <v>0</v>
      </c>
      <c r="O18" s="184">
        <v>0</v>
      </c>
      <c r="P18" s="184">
        <v>351</v>
      </c>
      <c r="Q18" s="184">
        <v>0</v>
      </c>
      <c r="R18" s="23"/>
      <c r="S18" s="184">
        <v>0</v>
      </c>
      <c r="T18" s="23"/>
      <c r="U18" s="184">
        <v>0</v>
      </c>
      <c r="V18" s="23"/>
      <c r="W18" s="190">
        <f t="shared" ref="W18:W30" si="5">ROUND(SUM(H18:U18),5)</f>
        <v>1710</v>
      </c>
    </row>
    <row r="19" spans="1:23" x14ac:dyDescent="0.25">
      <c r="A19" s="22"/>
      <c r="B19" s="22"/>
      <c r="C19" s="22"/>
      <c r="D19" s="22"/>
      <c r="E19" s="22"/>
      <c r="F19" s="22" t="s">
        <v>17</v>
      </c>
      <c r="G19" s="22"/>
      <c r="H19" s="184">
        <v>0</v>
      </c>
      <c r="I19" s="184">
        <v>1700</v>
      </c>
      <c r="J19" s="184">
        <v>1360</v>
      </c>
      <c r="K19" s="184">
        <v>900</v>
      </c>
      <c r="L19" s="184">
        <v>0</v>
      </c>
      <c r="M19" s="184">
        <v>9260.24</v>
      </c>
      <c r="N19" s="184">
        <v>440</v>
      </c>
      <c r="O19" s="184">
        <v>3016</v>
      </c>
      <c r="P19" s="184">
        <v>1500</v>
      </c>
      <c r="Q19" s="184">
        <v>0</v>
      </c>
      <c r="R19" s="23"/>
      <c r="S19" s="184">
        <v>0</v>
      </c>
      <c r="T19" s="23"/>
      <c r="U19" s="184">
        <v>0</v>
      </c>
      <c r="V19" s="23"/>
      <c r="W19" s="190">
        <f t="shared" si="5"/>
        <v>18176.240000000002</v>
      </c>
    </row>
    <row r="20" spans="1:23" x14ac:dyDescent="0.25">
      <c r="A20" s="22"/>
      <c r="B20" s="22"/>
      <c r="C20" s="22"/>
      <c r="D20" s="22"/>
      <c r="E20" s="22"/>
      <c r="F20" s="22" t="s">
        <v>19</v>
      </c>
      <c r="G20" s="22"/>
      <c r="H20" s="184">
        <v>0</v>
      </c>
      <c r="I20" s="184">
        <v>439.2</v>
      </c>
      <c r="J20" s="184">
        <v>0</v>
      </c>
      <c r="K20" s="184">
        <v>150</v>
      </c>
      <c r="L20" s="184">
        <v>1012</v>
      </c>
      <c r="M20" s="184">
        <v>0</v>
      </c>
      <c r="N20" s="184">
        <v>0</v>
      </c>
      <c r="O20" s="184">
        <v>0</v>
      </c>
      <c r="P20" s="184">
        <v>150</v>
      </c>
      <c r="Q20" s="184">
        <v>0</v>
      </c>
      <c r="R20" s="23"/>
      <c r="S20" s="184">
        <v>0</v>
      </c>
      <c r="T20" s="23"/>
      <c r="U20" s="184">
        <v>0</v>
      </c>
      <c r="V20" s="23"/>
      <c r="W20" s="190">
        <f t="shared" si="5"/>
        <v>1751.2</v>
      </c>
    </row>
    <row r="21" spans="1:23" ht="15.75" thickBot="1" x14ac:dyDescent="0.3">
      <c r="A21" s="22"/>
      <c r="B21" s="22"/>
      <c r="C21" s="22"/>
      <c r="D21" s="22"/>
      <c r="E21" s="22"/>
      <c r="F21" s="22" t="s">
        <v>143</v>
      </c>
      <c r="G21" s="22"/>
      <c r="H21" s="185">
        <v>0</v>
      </c>
      <c r="I21" s="185">
        <v>2374</v>
      </c>
      <c r="J21" s="185">
        <v>0</v>
      </c>
      <c r="K21" s="185">
        <v>40</v>
      </c>
      <c r="L21" s="185">
        <v>953</v>
      </c>
      <c r="M21" s="185">
        <v>1553</v>
      </c>
      <c r="N21" s="185">
        <v>507</v>
      </c>
      <c r="O21" s="185">
        <v>695</v>
      </c>
      <c r="P21" s="185">
        <v>900.5</v>
      </c>
      <c r="Q21" s="185">
        <v>0</v>
      </c>
      <c r="R21" s="23"/>
      <c r="S21" s="185">
        <v>0</v>
      </c>
      <c r="T21" s="23"/>
      <c r="U21" s="185">
        <v>0</v>
      </c>
      <c r="V21" s="23"/>
      <c r="W21" s="191">
        <f t="shared" si="5"/>
        <v>7022.5</v>
      </c>
    </row>
    <row r="22" spans="1:23" x14ac:dyDescent="0.25">
      <c r="A22" s="22"/>
      <c r="B22" s="22"/>
      <c r="C22" s="22"/>
      <c r="D22" s="22"/>
      <c r="E22" s="22" t="s">
        <v>21</v>
      </c>
      <c r="F22" s="22"/>
      <c r="G22" s="22"/>
      <c r="H22" s="184">
        <f t="shared" ref="H22:Q22" si="6">ROUND(SUM(H17:H21),5)</f>
        <v>0</v>
      </c>
      <c r="I22" s="184">
        <f t="shared" si="6"/>
        <v>4713.2</v>
      </c>
      <c r="J22" s="184">
        <f t="shared" si="6"/>
        <v>1360</v>
      </c>
      <c r="K22" s="184">
        <f t="shared" si="6"/>
        <v>1580</v>
      </c>
      <c r="L22" s="184">
        <f t="shared" si="6"/>
        <v>2082</v>
      </c>
      <c r="M22" s="184">
        <f t="shared" si="6"/>
        <v>11365.24</v>
      </c>
      <c r="N22" s="184">
        <f t="shared" si="6"/>
        <v>947</v>
      </c>
      <c r="O22" s="184">
        <f t="shared" si="6"/>
        <v>3711</v>
      </c>
      <c r="P22" s="184">
        <f t="shared" si="6"/>
        <v>2901.5</v>
      </c>
      <c r="Q22" s="184">
        <f t="shared" si="6"/>
        <v>0</v>
      </c>
      <c r="R22" s="23"/>
      <c r="S22" s="184">
        <f>ROUND(SUM(S17:S21),5)</f>
        <v>0</v>
      </c>
      <c r="T22" s="23"/>
      <c r="U22" s="184">
        <f>ROUND(SUM(U17:U21),5)</f>
        <v>0</v>
      </c>
      <c r="V22" s="23"/>
      <c r="W22" s="190">
        <f t="shared" si="5"/>
        <v>28659.94</v>
      </c>
    </row>
    <row r="23" spans="1:23" x14ac:dyDescent="0.25">
      <c r="A23" s="22"/>
      <c r="B23" s="22"/>
      <c r="C23" s="22"/>
      <c r="D23" s="22"/>
      <c r="E23" s="22" t="s">
        <v>144</v>
      </c>
      <c r="F23" s="22"/>
      <c r="G23" s="22"/>
      <c r="H23" s="184">
        <v>0</v>
      </c>
      <c r="I23" s="184">
        <v>0</v>
      </c>
      <c r="J23" s="184">
        <v>0</v>
      </c>
      <c r="K23" s="184">
        <v>0</v>
      </c>
      <c r="L23" s="184">
        <v>0</v>
      </c>
      <c r="M23" s="184">
        <v>0</v>
      </c>
      <c r="N23" s="184">
        <v>30</v>
      </c>
      <c r="O23" s="184">
        <v>0</v>
      </c>
      <c r="P23" s="184">
        <v>0</v>
      </c>
      <c r="Q23" s="184">
        <v>0</v>
      </c>
      <c r="R23" s="23"/>
      <c r="S23" s="184">
        <v>0</v>
      </c>
      <c r="T23" s="23"/>
      <c r="U23" s="184">
        <v>0</v>
      </c>
      <c r="V23" s="23"/>
      <c r="W23" s="190">
        <f t="shared" si="5"/>
        <v>30</v>
      </c>
    </row>
    <row r="24" spans="1:23" x14ac:dyDescent="0.25">
      <c r="A24" s="22"/>
      <c r="B24" s="22"/>
      <c r="C24" s="22"/>
      <c r="D24" s="22"/>
      <c r="E24" s="22" t="s">
        <v>145</v>
      </c>
      <c r="F24" s="22"/>
      <c r="G24" s="22"/>
      <c r="H24" s="184">
        <v>0</v>
      </c>
      <c r="I24" s="184">
        <v>32.380000000000003</v>
      </c>
      <c r="J24" s="184">
        <v>0</v>
      </c>
      <c r="K24" s="184">
        <v>0</v>
      </c>
      <c r="L24" s="184">
        <v>0</v>
      </c>
      <c r="M24" s="184">
        <v>0</v>
      </c>
      <c r="N24" s="184">
        <v>0</v>
      </c>
      <c r="O24" s="184">
        <v>0</v>
      </c>
      <c r="P24" s="184">
        <v>59.98</v>
      </c>
      <c r="Q24" s="184">
        <v>0</v>
      </c>
      <c r="R24" s="23"/>
      <c r="S24" s="184">
        <v>0</v>
      </c>
      <c r="T24" s="23"/>
      <c r="U24" s="184">
        <v>0</v>
      </c>
      <c r="V24" s="23"/>
      <c r="W24" s="190">
        <f t="shared" si="5"/>
        <v>92.36</v>
      </c>
    </row>
    <row r="25" spans="1:23" x14ac:dyDescent="0.25">
      <c r="A25" s="22"/>
      <c r="B25" s="22"/>
      <c r="C25" s="22"/>
      <c r="D25" s="22"/>
      <c r="E25" s="22" t="s">
        <v>11</v>
      </c>
      <c r="F25" s="22"/>
      <c r="G25" s="22"/>
      <c r="H25" s="184">
        <v>0</v>
      </c>
      <c r="I25" s="184">
        <v>0</v>
      </c>
      <c r="J25" s="184">
        <v>30.65</v>
      </c>
      <c r="K25" s="184">
        <v>0</v>
      </c>
      <c r="L25" s="184">
        <v>0</v>
      </c>
      <c r="M25" s="184">
        <v>0</v>
      </c>
      <c r="N25" s="184">
        <v>0</v>
      </c>
      <c r="O25" s="184">
        <v>0</v>
      </c>
      <c r="P25" s="184">
        <v>0</v>
      </c>
      <c r="Q25" s="184">
        <v>0</v>
      </c>
      <c r="R25" s="23"/>
      <c r="S25" s="184">
        <v>0</v>
      </c>
      <c r="T25" s="23"/>
      <c r="U25" s="184">
        <v>0</v>
      </c>
      <c r="V25" s="23"/>
      <c r="W25" s="190">
        <f t="shared" si="5"/>
        <v>30.65</v>
      </c>
    </row>
    <row r="26" spans="1:23" x14ac:dyDescent="0.25">
      <c r="A26" s="22"/>
      <c r="B26" s="22"/>
      <c r="C26" s="22"/>
      <c r="D26" s="22"/>
      <c r="E26" s="22" t="s">
        <v>146</v>
      </c>
      <c r="F26" s="22"/>
      <c r="G26" s="22"/>
      <c r="H26" s="184">
        <v>0</v>
      </c>
      <c r="I26" s="184">
        <v>1541.09</v>
      </c>
      <c r="J26" s="184">
        <v>208.24</v>
      </c>
      <c r="K26" s="184">
        <v>204.99</v>
      </c>
      <c r="L26" s="184">
        <v>324.12</v>
      </c>
      <c r="M26" s="184">
        <v>888.58</v>
      </c>
      <c r="N26" s="184">
        <v>1027.8499999999999</v>
      </c>
      <c r="O26" s="184">
        <v>453.55</v>
      </c>
      <c r="P26" s="184">
        <v>0</v>
      </c>
      <c r="Q26" s="184">
        <v>0</v>
      </c>
      <c r="R26" s="23"/>
      <c r="S26" s="184">
        <v>0</v>
      </c>
      <c r="T26" s="23"/>
      <c r="U26" s="184">
        <v>0</v>
      </c>
      <c r="V26" s="23"/>
      <c r="W26" s="190">
        <f t="shared" si="5"/>
        <v>4648.42</v>
      </c>
    </row>
    <row r="27" spans="1:23" x14ac:dyDescent="0.25">
      <c r="A27" s="22"/>
      <c r="B27" s="22"/>
      <c r="C27" s="22"/>
      <c r="D27" s="22"/>
      <c r="E27" s="22" t="s">
        <v>147</v>
      </c>
      <c r="F27" s="22"/>
      <c r="G27" s="22"/>
      <c r="H27" s="184">
        <v>0</v>
      </c>
      <c r="I27" s="184">
        <v>0</v>
      </c>
      <c r="J27" s="184">
        <v>57.14</v>
      </c>
      <c r="K27" s="184">
        <v>79.63</v>
      </c>
      <c r="L27" s="184">
        <v>0</v>
      </c>
      <c r="M27" s="184">
        <v>0</v>
      </c>
      <c r="N27" s="184">
        <v>0</v>
      </c>
      <c r="O27" s="184">
        <v>17.36</v>
      </c>
      <c r="P27" s="184">
        <v>532</v>
      </c>
      <c r="Q27" s="184">
        <v>0</v>
      </c>
      <c r="R27" s="23"/>
      <c r="S27" s="184">
        <v>0</v>
      </c>
      <c r="T27" s="23"/>
      <c r="U27" s="184">
        <v>0</v>
      </c>
      <c r="V27" s="23"/>
      <c r="W27" s="190">
        <f t="shared" si="5"/>
        <v>686.13</v>
      </c>
    </row>
    <row r="28" spans="1:23" ht="15.75" thickBot="1" x14ac:dyDescent="0.3">
      <c r="A28" s="22"/>
      <c r="B28" s="22"/>
      <c r="C28" s="22"/>
      <c r="D28" s="22"/>
      <c r="E28" s="22" t="s">
        <v>24</v>
      </c>
      <c r="F28" s="22"/>
      <c r="G28" s="22"/>
      <c r="H28" s="184">
        <v>0</v>
      </c>
      <c r="I28" s="184">
        <v>0</v>
      </c>
      <c r="J28" s="184">
        <v>1902</v>
      </c>
      <c r="K28" s="184">
        <v>6108</v>
      </c>
      <c r="L28" s="184">
        <v>0</v>
      </c>
      <c r="M28" s="184">
        <v>1045</v>
      </c>
      <c r="N28" s="184">
        <v>1870</v>
      </c>
      <c r="O28" s="184">
        <v>4328.68</v>
      </c>
      <c r="P28" s="184">
        <v>0</v>
      </c>
      <c r="Q28" s="184">
        <v>0</v>
      </c>
      <c r="R28" s="23"/>
      <c r="S28" s="184">
        <v>0</v>
      </c>
      <c r="T28" s="23"/>
      <c r="U28" s="184">
        <v>0</v>
      </c>
      <c r="V28" s="23"/>
      <c r="W28" s="190">
        <f t="shared" si="5"/>
        <v>15253.68</v>
      </c>
    </row>
    <row r="29" spans="1:23" ht="15.75" thickBot="1" x14ac:dyDescent="0.3">
      <c r="A29" s="22"/>
      <c r="B29" s="22"/>
      <c r="C29" s="22"/>
      <c r="D29" s="22" t="s">
        <v>148</v>
      </c>
      <c r="E29" s="22"/>
      <c r="F29" s="22"/>
      <c r="G29" s="22"/>
      <c r="H29" s="186">
        <f t="shared" ref="H29:Q29" si="7">ROUND(H16+SUM(H22:H28),5)</f>
        <v>0</v>
      </c>
      <c r="I29" s="186">
        <f t="shared" si="7"/>
        <v>6286.67</v>
      </c>
      <c r="J29" s="186">
        <f t="shared" si="7"/>
        <v>3558.03</v>
      </c>
      <c r="K29" s="186">
        <f t="shared" si="7"/>
        <v>7972.62</v>
      </c>
      <c r="L29" s="186">
        <f t="shared" si="7"/>
        <v>2406.12</v>
      </c>
      <c r="M29" s="186">
        <f t="shared" si="7"/>
        <v>13298.82</v>
      </c>
      <c r="N29" s="186">
        <f t="shared" si="7"/>
        <v>3874.85</v>
      </c>
      <c r="O29" s="186">
        <f t="shared" si="7"/>
        <v>8510.59</v>
      </c>
      <c r="P29" s="186">
        <f t="shared" si="7"/>
        <v>3493.48</v>
      </c>
      <c r="Q29" s="186">
        <f t="shared" si="7"/>
        <v>0</v>
      </c>
      <c r="R29" s="23"/>
      <c r="S29" s="186">
        <f>ROUND(S16+SUM(S22:S28),5)</f>
        <v>0</v>
      </c>
      <c r="T29" s="23"/>
      <c r="U29" s="186">
        <f>ROUND(U16+SUM(U22:U28),5)</f>
        <v>0</v>
      </c>
      <c r="V29" s="23"/>
      <c r="W29" s="192">
        <f t="shared" si="5"/>
        <v>49401.18</v>
      </c>
    </row>
    <row r="30" spans="1:23" x14ac:dyDescent="0.25">
      <c r="A30" s="22"/>
      <c r="B30" s="22"/>
      <c r="C30" s="22" t="s">
        <v>149</v>
      </c>
      <c r="D30" s="22"/>
      <c r="E30" s="22"/>
      <c r="F30" s="22"/>
      <c r="G30" s="22"/>
      <c r="H30" s="184">
        <f t="shared" ref="H30:Q30" si="8">ROUND(H15-H29,5)</f>
        <v>28135.53112</v>
      </c>
      <c r="I30" s="184">
        <f t="shared" si="8"/>
        <v>3391.2319200000002</v>
      </c>
      <c r="J30" s="184">
        <f t="shared" si="8"/>
        <v>9726.7121399999996</v>
      </c>
      <c r="K30" s="184">
        <f t="shared" si="8"/>
        <v>4190.2700000000004</v>
      </c>
      <c r="L30" s="184">
        <f t="shared" si="8"/>
        <v>4990.6593800000001</v>
      </c>
      <c r="M30" s="184">
        <f t="shared" si="8"/>
        <v>-772.80559000000005</v>
      </c>
      <c r="N30" s="184">
        <f t="shared" si="8"/>
        <v>4830.2014200000003</v>
      </c>
      <c r="O30" s="184">
        <f t="shared" si="8"/>
        <v>-1110.5726199999999</v>
      </c>
      <c r="P30" s="184">
        <f t="shared" si="8"/>
        <v>-3353.48</v>
      </c>
      <c r="Q30" s="184">
        <f t="shared" si="8"/>
        <v>0</v>
      </c>
      <c r="R30" s="23"/>
      <c r="S30" s="184">
        <f>ROUND(S15-S29,5)</f>
        <v>0</v>
      </c>
      <c r="T30" s="23"/>
      <c r="U30" s="184">
        <f>ROUND(U15-U29,5)</f>
        <v>0</v>
      </c>
      <c r="V30" s="23"/>
      <c r="W30" s="190">
        <f t="shared" si="5"/>
        <v>50027.747770000002</v>
      </c>
    </row>
    <row r="31" spans="1:23" x14ac:dyDescent="0.25">
      <c r="A31" s="22"/>
      <c r="B31" s="22"/>
      <c r="C31" s="22"/>
      <c r="D31" s="22" t="s">
        <v>48</v>
      </c>
      <c r="E31" s="22"/>
      <c r="F31" s="22"/>
      <c r="G31" s="22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23"/>
      <c r="S31" s="184"/>
      <c r="T31" s="23"/>
      <c r="U31" s="184"/>
      <c r="V31" s="23"/>
      <c r="W31" s="184"/>
    </row>
    <row r="32" spans="1:23" x14ac:dyDescent="0.25">
      <c r="A32" s="22"/>
      <c r="B32" s="22"/>
      <c r="C32" s="22"/>
      <c r="D32" s="22"/>
      <c r="E32" s="22" t="s">
        <v>150</v>
      </c>
      <c r="F32" s="22"/>
      <c r="G32" s="22"/>
      <c r="H32" s="184">
        <v>0</v>
      </c>
      <c r="I32" s="184">
        <v>0</v>
      </c>
      <c r="J32" s="184">
        <v>0</v>
      </c>
      <c r="K32" s="184">
        <v>0</v>
      </c>
      <c r="L32" s="184">
        <v>0</v>
      </c>
      <c r="M32" s="184">
        <v>2000</v>
      </c>
      <c r="N32" s="184">
        <v>0</v>
      </c>
      <c r="O32" s="184">
        <v>1000</v>
      </c>
      <c r="P32" s="184">
        <v>0</v>
      </c>
      <c r="Q32" s="184">
        <v>0</v>
      </c>
      <c r="R32" s="23"/>
      <c r="S32" s="184">
        <v>0</v>
      </c>
      <c r="T32" s="23"/>
      <c r="U32" s="184">
        <v>0</v>
      </c>
      <c r="V32" s="23"/>
      <c r="W32" s="190">
        <f>ROUND(SUM(H32:U32),5)</f>
        <v>3000</v>
      </c>
    </row>
    <row r="33" spans="1:23" x14ac:dyDescent="0.25">
      <c r="A33" s="22"/>
      <c r="B33" s="22"/>
      <c r="C33" s="22"/>
      <c r="D33" s="22"/>
      <c r="E33" s="22" t="s">
        <v>151</v>
      </c>
      <c r="F33" s="22"/>
      <c r="G33" s="22"/>
      <c r="H33" s="184">
        <v>0</v>
      </c>
      <c r="I33" s="184">
        <v>0</v>
      </c>
      <c r="J33" s="184">
        <v>0</v>
      </c>
      <c r="K33" s="184">
        <v>79</v>
      </c>
      <c r="L33" s="184">
        <v>0</v>
      </c>
      <c r="M33" s="184">
        <v>0</v>
      </c>
      <c r="N33" s="184">
        <v>0</v>
      </c>
      <c r="O33" s="184">
        <v>225</v>
      </c>
      <c r="P33" s="184">
        <v>80</v>
      </c>
      <c r="Q33" s="184">
        <v>0</v>
      </c>
      <c r="R33" s="23"/>
      <c r="S33" s="184">
        <v>0</v>
      </c>
      <c r="T33" s="23"/>
      <c r="U33" s="184">
        <v>0</v>
      </c>
      <c r="V33" s="23"/>
      <c r="W33" s="190">
        <f>ROUND(SUM(H33:U33),5)</f>
        <v>384</v>
      </c>
    </row>
    <row r="34" spans="1:23" x14ac:dyDescent="0.25">
      <c r="A34" s="22"/>
      <c r="B34" s="22"/>
      <c r="C34" s="22"/>
      <c r="D34" s="22"/>
      <c r="E34" s="22" t="s">
        <v>152</v>
      </c>
      <c r="F34" s="22"/>
      <c r="G34" s="22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23"/>
      <c r="S34" s="184"/>
      <c r="T34" s="23"/>
      <c r="U34" s="184"/>
      <c r="V34" s="23"/>
      <c r="W34" s="184"/>
    </row>
    <row r="35" spans="1:23" ht="15.75" thickBot="1" x14ac:dyDescent="0.3">
      <c r="A35" s="22"/>
      <c r="B35" s="22"/>
      <c r="C35" s="22"/>
      <c r="D35" s="22"/>
      <c r="E35" s="22"/>
      <c r="F35" s="22" t="s">
        <v>153</v>
      </c>
      <c r="G35" s="22"/>
      <c r="H35" s="185">
        <v>0</v>
      </c>
      <c r="I35" s="185">
        <v>0</v>
      </c>
      <c r="J35" s="185">
        <v>1751.94</v>
      </c>
      <c r="K35" s="185">
        <v>0</v>
      </c>
      <c r="L35" s="185">
        <v>0</v>
      </c>
      <c r="M35" s="185">
        <v>2540.75</v>
      </c>
      <c r="N35" s="185">
        <v>0</v>
      </c>
      <c r="O35" s="185">
        <v>0</v>
      </c>
      <c r="P35" s="185">
        <v>0</v>
      </c>
      <c r="Q35" s="185">
        <v>0</v>
      </c>
      <c r="R35" s="23"/>
      <c r="S35" s="185">
        <v>0</v>
      </c>
      <c r="T35" s="23"/>
      <c r="U35" s="185">
        <v>0</v>
      </c>
      <c r="V35" s="23"/>
      <c r="W35" s="191">
        <f t="shared" ref="W35:W40" si="9">ROUND(SUM(H35:U35),5)</f>
        <v>4292.6899999999996</v>
      </c>
    </row>
    <row r="36" spans="1:23" x14ac:dyDescent="0.25">
      <c r="A36" s="22"/>
      <c r="B36" s="22"/>
      <c r="C36" s="22"/>
      <c r="D36" s="22"/>
      <c r="E36" s="22" t="s">
        <v>154</v>
      </c>
      <c r="F36" s="22"/>
      <c r="G36" s="22"/>
      <c r="H36" s="184">
        <f t="shared" ref="H36:Q36" si="10">ROUND(SUM(H34:H35),5)</f>
        <v>0</v>
      </c>
      <c r="I36" s="184">
        <f t="shared" si="10"/>
        <v>0</v>
      </c>
      <c r="J36" s="184">
        <f t="shared" si="10"/>
        <v>1751.94</v>
      </c>
      <c r="K36" s="184">
        <f t="shared" si="10"/>
        <v>0</v>
      </c>
      <c r="L36" s="184">
        <f t="shared" si="10"/>
        <v>0</v>
      </c>
      <c r="M36" s="184">
        <f t="shared" si="10"/>
        <v>2540.75</v>
      </c>
      <c r="N36" s="184">
        <f t="shared" si="10"/>
        <v>0</v>
      </c>
      <c r="O36" s="184">
        <f t="shared" si="10"/>
        <v>0</v>
      </c>
      <c r="P36" s="184">
        <f t="shared" si="10"/>
        <v>0</v>
      </c>
      <c r="Q36" s="184">
        <f t="shared" si="10"/>
        <v>0</v>
      </c>
      <c r="R36" s="23"/>
      <c r="S36" s="184">
        <f>ROUND(SUM(S34:S35),5)</f>
        <v>0</v>
      </c>
      <c r="T36" s="23"/>
      <c r="U36" s="184">
        <f>ROUND(SUM(U34:U35),5)</f>
        <v>0</v>
      </c>
      <c r="V36" s="23"/>
      <c r="W36" s="190">
        <f t="shared" si="9"/>
        <v>4292.6899999999996</v>
      </c>
    </row>
    <row r="37" spans="1:23" x14ac:dyDescent="0.25">
      <c r="A37" s="22"/>
      <c r="B37" s="22"/>
      <c r="C37" s="22"/>
      <c r="D37" s="22"/>
      <c r="E37" s="22" t="s">
        <v>155</v>
      </c>
      <c r="F37" s="22"/>
      <c r="G37" s="22"/>
      <c r="H37" s="184">
        <v>35.25</v>
      </c>
      <c r="I37" s="184">
        <v>0</v>
      </c>
      <c r="J37" s="184">
        <v>41.69</v>
      </c>
      <c r="K37" s="184">
        <v>56.19</v>
      </c>
      <c r="L37" s="184">
        <v>273.48</v>
      </c>
      <c r="M37" s="184">
        <v>21.6</v>
      </c>
      <c r="N37" s="184">
        <v>0</v>
      </c>
      <c r="O37" s="184">
        <v>77.28</v>
      </c>
      <c r="P37" s="184">
        <v>194.84</v>
      </c>
      <c r="Q37" s="184">
        <v>0</v>
      </c>
      <c r="R37" s="23"/>
      <c r="S37" s="184">
        <v>0</v>
      </c>
      <c r="T37" s="23"/>
      <c r="U37" s="184">
        <v>0</v>
      </c>
      <c r="V37" s="23"/>
      <c r="W37" s="190">
        <f t="shared" si="9"/>
        <v>700.33</v>
      </c>
    </row>
    <row r="38" spans="1:23" x14ac:dyDescent="0.25">
      <c r="A38" s="22"/>
      <c r="B38" s="22"/>
      <c r="C38" s="22"/>
      <c r="D38" s="22"/>
      <c r="E38" s="22" t="s">
        <v>27</v>
      </c>
      <c r="F38" s="22"/>
      <c r="G38" s="22"/>
      <c r="H38" s="184">
        <v>700</v>
      </c>
      <c r="I38" s="184">
        <v>0</v>
      </c>
      <c r="J38" s="184">
        <v>144</v>
      </c>
      <c r="K38" s="184">
        <v>0</v>
      </c>
      <c r="L38" s="184">
        <v>0</v>
      </c>
      <c r="M38" s="184">
        <v>74.98</v>
      </c>
      <c r="N38" s="184">
        <v>0</v>
      </c>
      <c r="O38" s="184">
        <v>0</v>
      </c>
      <c r="P38" s="184">
        <v>0</v>
      </c>
      <c r="Q38" s="184">
        <v>0</v>
      </c>
      <c r="R38" s="23"/>
      <c r="S38" s="184">
        <v>0</v>
      </c>
      <c r="T38" s="23"/>
      <c r="U38" s="184">
        <v>0</v>
      </c>
      <c r="V38" s="23"/>
      <c r="W38" s="190">
        <f t="shared" si="9"/>
        <v>918.98</v>
      </c>
    </row>
    <row r="39" spans="1:23" x14ac:dyDescent="0.25">
      <c r="A39" s="22"/>
      <c r="B39" s="22"/>
      <c r="C39" s="22"/>
      <c r="D39" s="22"/>
      <c r="E39" s="22" t="s">
        <v>156</v>
      </c>
      <c r="F39" s="22"/>
      <c r="G39" s="22"/>
      <c r="H39" s="184">
        <v>0</v>
      </c>
      <c r="I39" s="184">
        <v>0</v>
      </c>
      <c r="J39" s="184">
        <v>0</v>
      </c>
      <c r="K39" s="184">
        <v>0</v>
      </c>
      <c r="L39" s="184">
        <v>0</v>
      </c>
      <c r="M39" s="184">
        <v>0</v>
      </c>
      <c r="N39" s="184">
        <v>0</v>
      </c>
      <c r="O39" s="184">
        <v>0</v>
      </c>
      <c r="P39" s="184">
        <v>111.68</v>
      </c>
      <c r="Q39" s="184">
        <v>0</v>
      </c>
      <c r="R39" s="23"/>
      <c r="S39" s="184">
        <v>0</v>
      </c>
      <c r="T39" s="23"/>
      <c r="U39" s="184">
        <v>0</v>
      </c>
      <c r="V39" s="23"/>
      <c r="W39" s="190">
        <f t="shared" si="9"/>
        <v>111.68</v>
      </c>
    </row>
    <row r="40" spans="1:23" x14ac:dyDescent="0.25">
      <c r="A40" s="22"/>
      <c r="B40" s="22"/>
      <c r="C40" s="22"/>
      <c r="D40" s="22"/>
      <c r="E40" s="22" t="s">
        <v>53</v>
      </c>
      <c r="F40" s="22"/>
      <c r="G40" s="22"/>
      <c r="H40" s="184">
        <v>11.36</v>
      </c>
      <c r="I40" s="184">
        <v>0</v>
      </c>
      <c r="J40" s="184">
        <v>0</v>
      </c>
      <c r="K40" s="184">
        <v>73.59</v>
      </c>
      <c r="L40" s="184">
        <v>0</v>
      </c>
      <c r="M40" s="184">
        <v>85.71</v>
      </c>
      <c r="N40" s="184">
        <v>85.71</v>
      </c>
      <c r="O40" s="184">
        <v>0</v>
      </c>
      <c r="P40" s="184">
        <v>0</v>
      </c>
      <c r="Q40" s="184">
        <v>0</v>
      </c>
      <c r="R40" s="23"/>
      <c r="S40" s="184">
        <v>0</v>
      </c>
      <c r="T40" s="23"/>
      <c r="U40" s="184">
        <v>0</v>
      </c>
      <c r="V40" s="23"/>
      <c r="W40" s="190">
        <f t="shared" si="9"/>
        <v>256.37</v>
      </c>
    </row>
    <row r="41" spans="1:23" x14ac:dyDescent="0.25">
      <c r="A41" s="22"/>
      <c r="B41" s="22"/>
      <c r="C41" s="22"/>
      <c r="D41" s="22"/>
      <c r="E41" s="22" t="s">
        <v>157</v>
      </c>
      <c r="F41" s="22"/>
      <c r="G41" s="22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23"/>
      <c r="S41" s="184"/>
      <c r="T41" s="23"/>
      <c r="U41" s="184"/>
      <c r="V41" s="23"/>
      <c r="W41" s="184"/>
    </row>
    <row r="42" spans="1:23" x14ac:dyDescent="0.25">
      <c r="A42" s="22"/>
      <c r="B42" s="22"/>
      <c r="C42" s="22"/>
      <c r="D42" s="22"/>
      <c r="E42" s="22"/>
      <c r="F42" s="22" t="s">
        <v>158</v>
      </c>
      <c r="G42" s="22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23"/>
      <c r="S42" s="184"/>
      <c r="T42" s="23"/>
      <c r="U42" s="184"/>
      <c r="V42" s="23"/>
      <c r="W42" s="184"/>
    </row>
    <row r="43" spans="1:23" x14ac:dyDescent="0.25">
      <c r="A43" s="22"/>
      <c r="B43" s="22"/>
      <c r="C43" s="22"/>
      <c r="D43" s="22"/>
      <c r="E43" s="22"/>
      <c r="F43" s="22"/>
      <c r="G43" s="22" t="s">
        <v>159</v>
      </c>
      <c r="H43" s="184">
        <v>0</v>
      </c>
      <c r="I43" s="184">
        <v>168</v>
      </c>
      <c r="J43" s="184">
        <v>140</v>
      </c>
      <c r="K43" s="184">
        <v>240</v>
      </c>
      <c r="L43" s="184">
        <v>0</v>
      </c>
      <c r="M43" s="184">
        <v>210</v>
      </c>
      <c r="N43" s="184">
        <v>180</v>
      </c>
      <c r="O43" s="184">
        <v>240</v>
      </c>
      <c r="P43" s="184">
        <v>320</v>
      </c>
      <c r="Q43" s="184">
        <v>0</v>
      </c>
      <c r="R43" s="23"/>
      <c r="S43" s="184">
        <v>0</v>
      </c>
      <c r="T43" s="23"/>
      <c r="U43" s="184">
        <v>0</v>
      </c>
      <c r="V43" s="23"/>
      <c r="W43" s="190">
        <f t="shared" ref="W43:W55" si="11">ROUND(SUM(H43:U43),5)</f>
        <v>1498</v>
      </c>
    </row>
    <row r="44" spans="1:23" ht="15.75" thickBot="1" x14ac:dyDescent="0.3">
      <c r="A44" s="22"/>
      <c r="B44" s="22"/>
      <c r="C44" s="22"/>
      <c r="D44" s="22"/>
      <c r="E44" s="22"/>
      <c r="F44" s="22"/>
      <c r="G44" s="22" t="s">
        <v>160</v>
      </c>
      <c r="H44" s="185">
        <v>0</v>
      </c>
      <c r="I44" s="185">
        <v>4280</v>
      </c>
      <c r="J44" s="185">
        <v>2890</v>
      </c>
      <c r="K44" s="185">
        <v>5780</v>
      </c>
      <c r="L44" s="185">
        <v>0</v>
      </c>
      <c r="M44" s="185">
        <v>2890</v>
      </c>
      <c r="N44" s="185">
        <v>2890</v>
      </c>
      <c r="O44" s="185">
        <v>2890</v>
      </c>
      <c r="P44" s="185">
        <v>6358</v>
      </c>
      <c r="Q44" s="185">
        <v>0</v>
      </c>
      <c r="R44" s="23"/>
      <c r="S44" s="185">
        <v>0</v>
      </c>
      <c r="T44" s="23"/>
      <c r="U44" s="185">
        <v>0</v>
      </c>
      <c r="V44" s="23"/>
      <c r="W44" s="191">
        <f t="shared" si="11"/>
        <v>27978</v>
      </c>
    </row>
    <row r="45" spans="1:23" x14ac:dyDescent="0.25">
      <c r="A45" s="22"/>
      <c r="B45" s="22"/>
      <c r="C45" s="22"/>
      <c r="D45" s="22"/>
      <c r="E45" s="22"/>
      <c r="F45" s="22" t="s">
        <v>161</v>
      </c>
      <c r="G45" s="22"/>
      <c r="H45" s="184">
        <f t="shared" ref="H45:Q45" si="12">ROUND(SUM(H42:H44),5)</f>
        <v>0</v>
      </c>
      <c r="I45" s="184">
        <f t="shared" si="12"/>
        <v>4448</v>
      </c>
      <c r="J45" s="184">
        <f t="shared" si="12"/>
        <v>3030</v>
      </c>
      <c r="K45" s="184">
        <f t="shared" si="12"/>
        <v>6020</v>
      </c>
      <c r="L45" s="184">
        <f t="shared" si="12"/>
        <v>0</v>
      </c>
      <c r="M45" s="184">
        <f t="shared" si="12"/>
        <v>3100</v>
      </c>
      <c r="N45" s="184">
        <f t="shared" si="12"/>
        <v>3070</v>
      </c>
      <c r="O45" s="184">
        <f t="shared" si="12"/>
        <v>3130</v>
      </c>
      <c r="P45" s="184">
        <f t="shared" si="12"/>
        <v>6678</v>
      </c>
      <c r="Q45" s="184">
        <f t="shared" si="12"/>
        <v>0</v>
      </c>
      <c r="R45" s="23"/>
      <c r="S45" s="184">
        <f>ROUND(SUM(S42:S44),5)</f>
        <v>0</v>
      </c>
      <c r="T45" s="23"/>
      <c r="U45" s="184">
        <f>ROUND(SUM(U42:U44),5)</f>
        <v>0</v>
      </c>
      <c r="V45" s="23"/>
      <c r="W45" s="190">
        <f t="shared" si="11"/>
        <v>29476</v>
      </c>
    </row>
    <row r="46" spans="1:23" x14ac:dyDescent="0.25">
      <c r="A46" s="22"/>
      <c r="B46" s="22"/>
      <c r="C46" s="22"/>
      <c r="D46" s="22"/>
      <c r="E46" s="22"/>
      <c r="F46" s="22" t="s">
        <v>162</v>
      </c>
      <c r="G46" s="22"/>
      <c r="H46" s="184">
        <v>0</v>
      </c>
      <c r="I46" s="184">
        <v>353.62</v>
      </c>
      <c r="J46" s="184">
        <v>240.89</v>
      </c>
      <c r="K46" s="184">
        <v>478.59</v>
      </c>
      <c r="L46" s="184">
        <v>0</v>
      </c>
      <c r="M46" s="184">
        <v>246.44</v>
      </c>
      <c r="N46" s="184">
        <v>244.07</v>
      </c>
      <c r="O46" s="184">
        <v>248.83</v>
      </c>
      <c r="P46" s="184">
        <v>530.9</v>
      </c>
      <c r="Q46" s="184">
        <v>0</v>
      </c>
      <c r="R46" s="23"/>
      <c r="S46" s="184">
        <v>0</v>
      </c>
      <c r="T46" s="23"/>
      <c r="U46" s="184">
        <v>0</v>
      </c>
      <c r="V46" s="23"/>
      <c r="W46" s="190">
        <f t="shared" si="11"/>
        <v>2343.34</v>
      </c>
    </row>
    <row r="47" spans="1:23" ht="15.75" thickBot="1" x14ac:dyDescent="0.3">
      <c r="A47" s="22"/>
      <c r="B47" s="22"/>
      <c r="C47" s="22"/>
      <c r="D47" s="22"/>
      <c r="E47" s="22"/>
      <c r="F47" s="22" t="s">
        <v>163</v>
      </c>
      <c r="G47" s="22"/>
      <c r="H47" s="185">
        <v>3.5</v>
      </c>
      <c r="I47" s="185">
        <v>7</v>
      </c>
      <c r="J47" s="185">
        <v>3.5</v>
      </c>
      <c r="K47" s="185">
        <v>3.5</v>
      </c>
      <c r="L47" s="185">
        <v>3.5</v>
      </c>
      <c r="M47" s="185">
        <v>3.5</v>
      </c>
      <c r="N47" s="185">
        <v>3.5</v>
      </c>
      <c r="O47" s="185">
        <v>3.5</v>
      </c>
      <c r="P47" s="185">
        <v>3.5</v>
      </c>
      <c r="Q47" s="185">
        <v>0</v>
      </c>
      <c r="R47" s="23"/>
      <c r="S47" s="185">
        <v>0</v>
      </c>
      <c r="T47" s="23"/>
      <c r="U47" s="185">
        <v>0</v>
      </c>
      <c r="V47" s="23"/>
      <c r="W47" s="191">
        <f t="shared" si="11"/>
        <v>35</v>
      </c>
    </row>
    <row r="48" spans="1:23" x14ac:dyDescent="0.25">
      <c r="A48" s="22"/>
      <c r="B48" s="22"/>
      <c r="C48" s="22"/>
      <c r="D48" s="22"/>
      <c r="E48" s="22" t="s">
        <v>164</v>
      </c>
      <c r="F48" s="22"/>
      <c r="G48" s="22"/>
      <c r="H48" s="184">
        <f t="shared" ref="H48:Q48" si="13">ROUND(H41+SUM(H45:H47),5)</f>
        <v>3.5</v>
      </c>
      <c r="I48" s="184">
        <f t="shared" si="13"/>
        <v>4808.62</v>
      </c>
      <c r="J48" s="184">
        <f t="shared" si="13"/>
        <v>3274.39</v>
      </c>
      <c r="K48" s="184">
        <f t="shared" si="13"/>
        <v>6502.09</v>
      </c>
      <c r="L48" s="184">
        <f t="shared" si="13"/>
        <v>3.5</v>
      </c>
      <c r="M48" s="184">
        <f t="shared" si="13"/>
        <v>3349.94</v>
      </c>
      <c r="N48" s="184">
        <f t="shared" si="13"/>
        <v>3317.57</v>
      </c>
      <c r="O48" s="184">
        <f t="shared" si="13"/>
        <v>3382.33</v>
      </c>
      <c r="P48" s="184">
        <f t="shared" si="13"/>
        <v>7212.4</v>
      </c>
      <c r="Q48" s="184">
        <f t="shared" si="13"/>
        <v>0</v>
      </c>
      <c r="R48" s="23"/>
      <c r="S48" s="184">
        <f>ROUND(S41+SUM(S45:S47),5)</f>
        <v>0</v>
      </c>
      <c r="T48" s="23"/>
      <c r="U48" s="184">
        <f>ROUND(U41+SUM(U45:U47),5)</f>
        <v>0</v>
      </c>
      <c r="V48" s="23"/>
      <c r="W48" s="190">
        <f t="shared" si="11"/>
        <v>31854.34</v>
      </c>
    </row>
    <row r="49" spans="1:23" x14ac:dyDescent="0.25">
      <c r="A49" s="22"/>
      <c r="B49" s="22"/>
      <c r="C49" s="22"/>
      <c r="D49" s="22"/>
      <c r="E49" s="22" t="s">
        <v>165</v>
      </c>
      <c r="F49" s="22"/>
      <c r="G49" s="22"/>
      <c r="H49" s="184">
        <v>0</v>
      </c>
      <c r="I49" s="184">
        <v>0</v>
      </c>
      <c r="J49" s="184">
        <v>0</v>
      </c>
      <c r="K49" s="184">
        <v>0</v>
      </c>
      <c r="L49" s="184">
        <v>0</v>
      </c>
      <c r="M49" s="184">
        <v>84</v>
      </c>
      <c r="N49" s="184">
        <v>0</v>
      </c>
      <c r="O49" s="184">
        <v>0</v>
      </c>
      <c r="P49" s="184">
        <v>0</v>
      </c>
      <c r="Q49" s="184">
        <v>0</v>
      </c>
      <c r="R49" s="23"/>
      <c r="S49" s="184">
        <v>0</v>
      </c>
      <c r="T49" s="23"/>
      <c r="U49" s="184">
        <v>0</v>
      </c>
      <c r="V49" s="23"/>
      <c r="W49" s="190">
        <f t="shared" si="11"/>
        <v>84</v>
      </c>
    </row>
    <row r="50" spans="1:23" x14ac:dyDescent="0.25">
      <c r="A50" s="22"/>
      <c r="B50" s="22"/>
      <c r="C50" s="22"/>
      <c r="D50" s="22"/>
      <c r="E50" s="22" t="s">
        <v>54</v>
      </c>
      <c r="F50" s="22"/>
      <c r="G50" s="22"/>
      <c r="H50" s="184">
        <v>270</v>
      </c>
      <c r="I50" s="184">
        <v>0</v>
      </c>
      <c r="J50" s="184">
        <v>330</v>
      </c>
      <c r="K50" s="184">
        <v>200</v>
      </c>
      <c r="L50" s="184">
        <v>0</v>
      </c>
      <c r="M50" s="184">
        <v>180</v>
      </c>
      <c r="N50" s="184">
        <v>0</v>
      </c>
      <c r="O50" s="184">
        <v>200</v>
      </c>
      <c r="P50" s="184">
        <v>0</v>
      </c>
      <c r="Q50" s="184">
        <v>0</v>
      </c>
      <c r="R50" s="23"/>
      <c r="S50" s="184">
        <v>0</v>
      </c>
      <c r="T50" s="23"/>
      <c r="U50" s="184">
        <v>0</v>
      </c>
      <c r="V50" s="23"/>
      <c r="W50" s="190">
        <f t="shared" si="11"/>
        <v>1180</v>
      </c>
    </row>
    <row r="51" spans="1:23" x14ac:dyDescent="0.25">
      <c r="A51" s="22"/>
      <c r="B51" s="22"/>
      <c r="C51" s="22"/>
      <c r="D51" s="22"/>
      <c r="E51" s="22" t="s">
        <v>56</v>
      </c>
      <c r="F51" s="22"/>
      <c r="G51" s="22"/>
      <c r="H51" s="184">
        <v>147.68</v>
      </c>
      <c r="I51" s="184">
        <v>137.47999999999999</v>
      </c>
      <c r="J51" s="184">
        <v>128.30000000000001</v>
      </c>
      <c r="K51" s="184">
        <v>94.2</v>
      </c>
      <c r="L51" s="184">
        <v>76.959999999999994</v>
      </c>
      <c r="M51" s="184">
        <v>54.26</v>
      </c>
      <c r="N51" s="184">
        <v>34.549999999999997</v>
      </c>
      <c r="O51" s="184">
        <v>35.090000000000003</v>
      </c>
      <c r="P51" s="184">
        <v>33.57</v>
      </c>
      <c r="Q51" s="184">
        <v>0</v>
      </c>
      <c r="R51" s="23"/>
      <c r="S51" s="184">
        <v>0</v>
      </c>
      <c r="T51" s="23"/>
      <c r="U51" s="184">
        <v>0</v>
      </c>
      <c r="V51" s="23"/>
      <c r="W51" s="190">
        <f t="shared" si="11"/>
        <v>742.09</v>
      </c>
    </row>
    <row r="52" spans="1:23" x14ac:dyDescent="0.25">
      <c r="A52" s="22"/>
      <c r="B52" s="22"/>
      <c r="C52" s="22"/>
      <c r="D52" s="22"/>
      <c r="E52" s="22" t="s">
        <v>55</v>
      </c>
      <c r="F52" s="22"/>
      <c r="G52" s="22"/>
      <c r="H52" s="184">
        <v>49.16</v>
      </c>
      <c r="I52" s="184">
        <v>48.59</v>
      </c>
      <c r="J52" s="184">
        <v>48.72</v>
      </c>
      <c r="K52" s="184">
        <v>0</v>
      </c>
      <c r="L52" s="184">
        <v>99.18</v>
      </c>
      <c r="M52" s="184">
        <v>48.72</v>
      </c>
      <c r="N52" s="184">
        <v>48.59</v>
      </c>
      <c r="O52" s="184">
        <v>50.31</v>
      </c>
      <c r="P52" s="184">
        <v>0</v>
      </c>
      <c r="Q52" s="184">
        <v>0</v>
      </c>
      <c r="R52" s="23"/>
      <c r="S52" s="184">
        <v>0</v>
      </c>
      <c r="T52" s="23"/>
      <c r="U52" s="184">
        <v>0</v>
      </c>
      <c r="V52" s="23"/>
      <c r="W52" s="190">
        <f t="shared" si="11"/>
        <v>393.27</v>
      </c>
    </row>
    <row r="53" spans="1:23" ht="15.75" thickBot="1" x14ac:dyDescent="0.3">
      <c r="A53" s="22"/>
      <c r="B53" s="22"/>
      <c r="C53" s="22"/>
      <c r="D53" s="22"/>
      <c r="E53" s="22" t="s">
        <v>166</v>
      </c>
      <c r="F53" s="22"/>
      <c r="G53" s="22"/>
      <c r="H53" s="184">
        <v>1555.5</v>
      </c>
      <c r="I53" s="184">
        <v>228.25</v>
      </c>
      <c r="J53" s="184">
        <v>0</v>
      </c>
      <c r="K53" s="184">
        <v>486.5</v>
      </c>
      <c r="L53" s="184">
        <v>891.25</v>
      </c>
      <c r="M53" s="184">
        <v>153.75</v>
      </c>
      <c r="N53" s="184">
        <v>792.25</v>
      </c>
      <c r="O53" s="184">
        <v>484.05</v>
      </c>
      <c r="P53" s="184">
        <v>225</v>
      </c>
      <c r="Q53" s="184">
        <v>0</v>
      </c>
      <c r="R53" s="23"/>
      <c r="S53" s="184">
        <v>0</v>
      </c>
      <c r="T53" s="23"/>
      <c r="U53" s="184">
        <v>0</v>
      </c>
      <c r="V53" s="23"/>
      <c r="W53" s="190">
        <f t="shared" si="11"/>
        <v>4816.55</v>
      </c>
    </row>
    <row r="54" spans="1:23" ht="15.75" thickBot="1" x14ac:dyDescent="0.3">
      <c r="A54" s="22"/>
      <c r="B54" s="22"/>
      <c r="C54" s="22"/>
      <c r="D54" s="22" t="s">
        <v>167</v>
      </c>
      <c r="E54" s="22"/>
      <c r="F54" s="22"/>
      <c r="G54" s="22"/>
      <c r="H54" s="186">
        <f t="shared" ref="H54:Q54" si="14">ROUND(SUM(H31:H33)+SUM(H36:H40)+SUM(H48:H53),5)</f>
        <v>2772.45</v>
      </c>
      <c r="I54" s="186">
        <f t="shared" si="14"/>
        <v>5222.9399999999996</v>
      </c>
      <c r="J54" s="186">
        <f t="shared" si="14"/>
        <v>5719.04</v>
      </c>
      <c r="K54" s="186">
        <f t="shared" si="14"/>
        <v>7491.57</v>
      </c>
      <c r="L54" s="186">
        <f t="shared" si="14"/>
        <v>1344.37</v>
      </c>
      <c r="M54" s="186">
        <f t="shared" si="14"/>
        <v>8593.7099999999991</v>
      </c>
      <c r="N54" s="186">
        <f t="shared" si="14"/>
        <v>4278.67</v>
      </c>
      <c r="O54" s="186">
        <f t="shared" si="14"/>
        <v>5454.06</v>
      </c>
      <c r="P54" s="186">
        <f t="shared" si="14"/>
        <v>7857.49</v>
      </c>
      <c r="Q54" s="186">
        <f t="shared" si="14"/>
        <v>0</v>
      </c>
      <c r="R54" s="23"/>
      <c r="S54" s="186">
        <f>ROUND(SUM(S31:S33)+SUM(S36:S40)+SUM(S48:S53),5)</f>
        <v>0</v>
      </c>
      <c r="T54" s="23"/>
      <c r="U54" s="186">
        <f>ROUND(SUM(U31:U33)+SUM(U36:U40)+SUM(U48:U53),5)</f>
        <v>0</v>
      </c>
      <c r="V54" s="23"/>
      <c r="W54" s="192">
        <f t="shared" si="11"/>
        <v>48734.3</v>
      </c>
    </row>
    <row r="55" spans="1:23" x14ac:dyDescent="0.25">
      <c r="A55" s="22"/>
      <c r="B55" s="22" t="s">
        <v>168</v>
      </c>
      <c r="C55" s="22"/>
      <c r="D55" s="22"/>
      <c r="E55" s="22"/>
      <c r="F55" s="22"/>
      <c r="G55" s="22"/>
      <c r="H55" s="184">
        <f t="shared" ref="H55:Q55" si="15">ROUND(H2+H30-H54,5)</f>
        <v>25363.081119999999</v>
      </c>
      <c r="I55" s="184">
        <f t="shared" si="15"/>
        <v>-1831.7080800000001</v>
      </c>
      <c r="J55" s="184">
        <f t="shared" si="15"/>
        <v>4007.6721400000001</v>
      </c>
      <c r="K55" s="184">
        <f t="shared" si="15"/>
        <v>-3301.3</v>
      </c>
      <c r="L55" s="184">
        <f t="shared" si="15"/>
        <v>3646.2893800000002</v>
      </c>
      <c r="M55" s="184">
        <f t="shared" si="15"/>
        <v>-9366.5155900000009</v>
      </c>
      <c r="N55" s="184">
        <f t="shared" si="15"/>
        <v>551.53142000000003</v>
      </c>
      <c r="O55" s="184">
        <f t="shared" si="15"/>
        <v>-6564.6326200000003</v>
      </c>
      <c r="P55" s="184">
        <f t="shared" si="15"/>
        <v>-11210.97</v>
      </c>
      <c r="Q55" s="184">
        <f t="shared" si="15"/>
        <v>0</v>
      </c>
      <c r="R55" s="23"/>
      <c r="S55" s="184">
        <f>ROUND(S2+S30-S54,5)</f>
        <v>0</v>
      </c>
      <c r="T55" s="23"/>
      <c r="U55" s="184">
        <f>ROUND(U2+U30-U54,5)</f>
        <v>0</v>
      </c>
      <c r="V55" s="23"/>
      <c r="W55" s="190">
        <f t="shared" si="11"/>
        <v>1293.44777</v>
      </c>
    </row>
    <row r="56" spans="1:23" x14ac:dyDescent="0.25">
      <c r="A56" s="22"/>
      <c r="B56" s="22" t="s">
        <v>169</v>
      </c>
      <c r="C56" s="22"/>
      <c r="D56" s="22"/>
      <c r="E56" s="22"/>
      <c r="F56" s="22"/>
      <c r="G56" s="22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23"/>
      <c r="S56" s="184"/>
      <c r="T56" s="23"/>
      <c r="U56" s="184"/>
      <c r="V56" s="23"/>
      <c r="W56" s="184"/>
    </row>
    <row r="57" spans="1:23" x14ac:dyDescent="0.25">
      <c r="A57" s="22"/>
      <c r="B57" s="22"/>
      <c r="C57" s="22" t="s">
        <v>170</v>
      </c>
      <c r="D57" s="22"/>
      <c r="E57" s="22"/>
      <c r="F57" s="22"/>
      <c r="G57" s="22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23"/>
      <c r="S57" s="184"/>
      <c r="T57" s="23"/>
      <c r="U57" s="184"/>
      <c r="V57" s="23"/>
      <c r="W57" s="184"/>
    </row>
    <row r="58" spans="1:23" ht="15.75" thickBot="1" x14ac:dyDescent="0.3">
      <c r="A58" s="22"/>
      <c r="B58" s="22"/>
      <c r="C58" s="22"/>
      <c r="D58" s="22" t="s">
        <v>171</v>
      </c>
      <c r="E58" s="22"/>
      <c r="F58" s="22"/>
      <c r="G58" s="22"/>
      <c r="H58" s="184">
        <v>0</v>
      </c>
      <c r="I58" s="184">
        <v>0</v>
      </c>
      <c r="J58" s="184">
        <v>0</v>
      </c>
      <c r="K58" s="184">
        <v>-12.85</v>
      </c>
      <c r="L58" s="184">
        <v>0</v>
      </c>
      <c r="M58" s="184">
        <v>-210.17</v>
      </c>
      <c r="N58" s="184">
        <v>0</v>
      </c>
      <c r="O58" s="184">
        <v>-26.78</v>
      </c>
      <c r="P58" s="184">
        <v>0</v>
      </c>
      <c r="Q58" s="184">
        <v>0</v>
      </c>
      <c r="R58" s="23"/>
      <c r="S58" s="184">
        <v>0</v>
      </c>
      <c r="T58" s="23"/>
      <c r="U58" s="184">
        <v>0</v>
      </c>
      <c r="V58" s="23"/>
      <c r="W58" s="190">
        <f>ROUND(SUM(H58:U58),5)</f>
        <v>-249.8</v>
      </c>
    </row>
    <row r="59" spans="1:23" ht="15.75" thickBot="1" x14ac:dyDescent="0.3">
      <c r="A59" s="22"/>
      <c r="B59" s="22"/>
      <c r="C59" s="22" t="s">
        <v>172</v>
      </c>
      <c r="D59" s="22"/>
      <c r="E59" s="22"/>
      <c r="F59" s="22"/>
      <c r="G59" s="22"/>
      <c r="H59" s="187">
        <f t="shared" ref="H59:Q59" si="16">ROUND(SUM(H57:H58),5)</f>
        <v>0</v>
      </c>
      <c r="I59" s="187">
        <f t="shared" si="16"/>
        <v>0</v>
      </c>
      <c r="J59" s="187">
        <f t="shared" si="16"/>
        <v>0</v>
      </c>
      <c r="K59" s="187">
        <f t="shared" si="16"/>
        <v>-12.85</v>
      </c>
      <c r="L59" s="187">
        <f t="shared" si="16"/>
        <v>0</v>
      </c>
      <c r="M59" s="187">
        <f t="shared" si="16"/>
        <v>-210.17</v>
      </c>
      <c r="N59" s="187">
        <f t="shared" si="16"/>
        <v>0</v>
      </c>
      <c r="O59" s="187">
        <f t="shared" si="16"/>
        <v>-26.78</v>
      </c>
      <c r="P59" s="187">
        <f t="shared" si="16"/>
        <v>0</v>
      </c>
      <c r="Q59" s="187">
        <f t="shared" si="16"/>
        <v>0</v>
      </c>
      <c r="R59" s="23"/>
      <c r="S59" s="187">
        <f>ROUND(SUM(S57:S58),5)</f>
        <v>0</v>
      </c>
      <c r="T59" s="23"/>
      <c r="U59" s="187">
        <f>ROUND(SUM(U57:U58),5)</f>
        <v>0</v>
      </c>
      <c r="V59" s="23"/>
      <c r="W59" s="193">
        <f>ROUND(SUM(H59:U59),5)</f>
        <v>-249.8</v>
      </c>
    </row>
    <row r="60" spans="1:23" ht="15.75" thickBot="1" x14ac:dyDescent="0.3">
      <c r="A60" s="22"/>
      <c r="B60" s="22" t="s">
        <v>173</v>
      </c>
      <c r="C60" s="22"/>
      <c r="D60" s="22"/>
      <c r="E60" s="22"/>
      <c r="F60" s="22"/>
      <c r="G60" s="22"/>
      <c r="H60" s="187">
        <f t="shared" ref="H60:Q60" si="17">ROUND(H56-H59,5)</f>
        <v>0</v>
      </c>
      <c r="I60" s="187">
        <f t="shared" si="17"/>
        <v>0</v>
      </c>
      <c r="J60" s="187">
        <f t="shared" si="17"/>
        <v>0</v>
      </c>
      <c r="K60" s="187">
        <f t="shared" si="17"/>
        <v>12.85</v>
      </c>
      <c r="L60" s="187">
        <f t="shared" si="17"/>
        <v>0</v>
      </c>
      <c r="M60" s="187">
        <f t="shared" si="17"/>
        <v>210.17</v>
      </c>
      <c r="N60" s="187">
        <f t="shared" si="17"/>
        <v>0</v>
      </c>
      <c r="O60" s="187">
        <f t="shared" si="17"/>
        <v>26.78</v>
      </c>
      <c r="P60" s="187">
        <f t="shared" si="17"/>
        <v>0</v>
      </c>
      <c r="Q60" s="187">
        <f t="shared" si="17"/>
        <v>0</v>
      </c>
      <c r="R60" s="23"/>
      <c r="S60" s="187">
        <f>ROUND(S56-S59,5)</f>
        <v>0</v>
      </c>
      <c r="T60" s="23"/>
      <c r="U60" s="187">
        <f>ROUND(U56-U59,5)</f>
        <v>0</v>
      </c>
      <c r="V60" s="23"/>
      <c r="W60" s="193">
        <f>ROUND(SUM(H60:U60),5)</f>
        <v>249.8</v>
      </c>
    </row>
    <row r="61" spans="1:23" s="189" customFormat="1" ht="12" thickBot="1" x14ac:dyDescent="0.25">
      <c r="A61" s="22" t="s">
        <v>174</v>
      </c>
      <c r="B61" s="22"/>
      <c r="C61" s="22"/>
      <c r="D61" s="22"/>
      <c r="E61" s="22"/>
      <c r="F61" s="22"/>
      <c r="G61" s="22"/>
      <c r="H61" s="188">
        <f t="shared" ref="H61:Q61" si="18">ROUND(H55+H60,5)</f>
        <v>25363.081119999999</v>
      </c>
      <c r="I61" s="188">
        <f t="shared" si="18"/>
        <v>-1831.7080800000001</v>
      </c>
      <c r="J61" s="188">
        <f t="shared" si="18"/>
        <v>4007.6721400000001</v>
      </c>
      <c r="K61" s="188">
        <f t="shared" si="18"/>
        <v>-3288.45</v>
      </c>
      <c r="L61" s="188">
        <f t="shared" si="18"/>
        <v>3646.2893800000002</v>
      </c>
      <c r="M61" s="188">
        <f t="shared" si="18"/>
        <v>-9156.3455900000008</v>
      </c>
      <c r="N61" s="188">
        <f t="shared" si="18"/>
        <v>551.53142000000003</v>
      </c>
      <c r="O61" s="188">
        <f t="shared" si="18"/>
        <v>-6537.8526199999997</v>
      </c>
      <c r="P61" s="188">
        <f t="shared" si="18"/>
        <v>-11210.97</v>
      </c>
      <c r="Q61" s="188">
        <f t="shared" si="18"/>
        <v>0</v>
      </c>
      <c r="R61" s="22"/>
      <c r="S61" s="188">
        <f>ROUND(S55+S60,5)</f>
        <v>0</v>
      </c>
      <c r="T61" s="22"/>
      <c r="U61" s="188">
        <f>ROUND(U55+U60,5)</f>
        <v>0</v>
      </c>
      <c r="V61" s="22"/>
      <c r="W61" s="194">
        <f>ROUND(SUM(H61:U61),5)</f>
        <v>1543.2477699999999</v>
      </c>
    </row>
    <row r="62" spans="1:23" ht="15.75" thickTop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B3652-A465-4DA5-BDC2-A3038974D6CD}">
  <sheetPr>
    <tabColor rgb="FF0070C0"/>
    <pageSetUpPr fitToPage="1"/>
  </sheetPr>
  <dimension ref="A1:Q47"/>
  <sheetViews>
    <sheetView topLeftCell="A9" zoomScale="145" zoomScaleNormal="145" workbookViewId="0">
      <selection activeCell="A33" sqref="A33"/>
    </sheetView>
  </sheetViews>
  <sheetFormatPr defaultColWidth="8.85546875" defaultRowHeight="15" x14ac:dyDescent="0.25"/>
  <cols>
    <col min="1" max="1" width="31.42578125" customWidth="1"/>
    <col min="2" max="8" width="8.42578125" bestFit="1" customWidth="1"/>
    <col min="9" max="9" width="8.7109375" customWidth="1"/>
    <col min="10" max="13" width="8.42578125" bestFit="1" customWidth="1"/>
    <col min="14" max="14" width="9.5703125" style="5" bestFit="1" customWidth="1"/>
    <col min="15" max="16" width="15.7109375" customWidth="1"/>
  </cols>
  <sheetData>
    <row r="1" spans="1:17" ht="18.75" x14ac:dyDescent="0.3">
      <c r="A1" s="20" t="s">
        <v>175</v>
      </c>
    </row>
    <row r="3" spans="1:17" ht="15.75" x14ac:dyDescent="0.25">
      <c r="A3" s="31" t="s">
        <v>54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</row>
    <row r="5" spans="1:17" x14ac:dyDescent="0.25">
      <c r="B5" s="29" t="str">
        <f>'Income Statement'!J5</f>
        <v>Jan</v>
      </c>
      <c r="C5" s="29" t="str">
        <f>'Income Statement'!K5</f>
        <v>Feb</v>
      </c>
      <c r="D5" s="29" t="str">
        <f>'Income Statement'!L5</f>
        <v>Mar</v>
      </c>
      <c r="E5" s="29" t="str">
        <f>'Income Statement'!M5</f>
        <v>Apr</v>
      </c>
      <c r="F5" s="29" t="str">
        <f>'Income Statement'!N5</f>
        <v>May</v>
      </c>
      <c r="G5" s="29" t="str">
        <f>'Income Statement'!O5</f>
        <v>Jun</v>
      </c>
      <c r="H5" s="29" t="str">
        <f>'Income Statement'!P5</f>
        <v>Jul</v>
      </c>
      <c r="I5" s="29" t="str">
        <f>'Income Statement'!Q5</f>
        <v>Aug</v>
      </c>
      <c r="J5" s="29" t="str">
        <f>'Income Statement'!R5</f>
        <v>Sep</v>
      </c>
      <c r="K5" s="29" t="str">
        <f>'Income Statement'!S5</f>
        <v>Oct</v>
      </c>
      <c r="L5" s="29" t="str">
        <f>'Income Statement'!T5</f>
        <v>Nov</v>
      </c>
      <c r="M5" s="29" t="str">
        <f>'Income Statement'!U5</f>
        <v>Dec</v>
      </c>
      <c r="N5" s="30" t="s">
        <v>3</v>
      </c>
    </row>
    <row r="6" spans="1:17" x14ac:dyDescent="0.25">
      <c r="A6" t="s">
        <v>176</v>
      </c>
      <c r="B6" s="3">
        <v>333.33333333333331</v>
      </c>
      <c r="C6" s="3">
        <v>333.33333333333331</v>
      </c>
      <c r="D6" s="3">
        <v>333.33333333333331</v>
      </c>
      <c r="E6" s="3">
        <v>333.33333333333331</v>
      </c>
      <c r="F6" s="3">
        <v>333.33333333333331</v>
      </c>
      <c r="G6" s="3">
        <v>333.33333333333331</v>
      </c>
      <c r="H6" s="3">
        <v>333.33333333333331</v>
      </c>
      <c r="I6" s="3">
        <v>333.33333333333331</v>
      </c>
      <c r="J6" s="3">
        <v>333.33333333333331</v>
      </c>
      <c r="K6" s="3">
        <v>333.33333333333331</v>
      </c>
      <c r="L6" s="3">
        <v>333.33333333333331</v>
      </c>
      <c r="M6" s="3">
        <v>333.33333333333331</v>
      </c>
      <c r="N6" s="4">
        <f t="shared" ref="N6:N14" si="0">SUM(B6:M6)</f>
        <v>4000.0000000000005</v>
      </c>
      <c r="Q6" t="s">
        <v>399</v>
      </c>
    </row>
    <row r="7" spans="1:17" x14ac:dyDescent="0.25">
      <c r="A7" s="18" t="s">
        <v>177</v>
      </c>
      <c r="B7" s="19">
        <v>100</v>
      </c>
      <c r="C7" s="19">
        <v>100</v>
      </c>
      <c r="D7" s="19">
        <v>100</v>
      </c>
      <c r="E7" s="19">
        <v>100</v>
      </c>
      <c r="F7" s="19">
        <v>100</v>
      </c>
      <c r="G7" s="19">
        <v>100</v>
      </c>
      <c r="H7" s="19">
        <v>100</v>
      </c>
      <c r="I7" s="19">
        <v>100</v>
      </c>
      <c r="J7" s="19">
        <v>100</v>
      </c>
      <c r="K7" s="19">
        <v>100</v>
      </c>
      <c r="L7" s="19">
        <v>100</v>
      </c>
      <c r="M7" s="19">
        <v>100</v>
      </c>
      <c r="N7" s="47">
        <f t="shared" si="0"/>
        <v>1200</v>
      </c>
      <c r="Q7" t="s">
        <v>399</v>
      </c>
    </row>
    <row r="8" spans="1:17" x14ac:dyDescent="0.25">
      <c r="A8" t="s">
        <v>140</v>
      </c>
      <c r="B8" s="3">
        <v>0</v>
      </c>
      <c r="C8" s="3">
        <v>0</v>
      </c>
      <c r="D8" s="3">
        <v>1800</v>
      </c>
      <c r="E8" s="3">
        <v>0</v>
      </c>
      <c r="F8" s="3">
        <v>0</v>
      </c>
      <c r="G8" s="3">
        <v>2600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4">
        <f t="shared" si="0"/>
        <v>4400</v>
      </c>
      <c r="Q8" t="s">
        <v>399</v>
      </c>
    </row>
    <row r="9" spans="1:17" x14ac:dyDescent="0.25">
      <c r="A9" s="18" t="s">
        <v>178</v>
      </c>
      <c r="B9" s="19">
        <v>513</v>
      </c>
      <c r="C9" s="19">
        <v>513</v>
      </c>
      <c r="D9" s="19">
        <v>513</v>
      </c>
      <c r="E9" s="19">
        <v>513</v>
      </c>
      <c r="F9" s="19">
        <v>513</v>
      </c>
      <c r="G9" s="19">
        <v>513</v>
      </c>
      <c r="H9" s="19">
        <v>513</v>
      </c>
      <c r="I9" s="19">
        <v>513</v>
      </c>
      <c r="J9" s="19">
        <v>513</v>
      </c>
      <c r="K9" s="19">
        <v>513</v>
      </c>
      <c r="L9" s="19">
        <v>513</v>
      </c>
      <c r="M9" s="19">
        <v>513</v>
      </c>
      <c r="N9" s="47">
        <f t="shared" si="0"/>
        <v>6156</v>
      </c>
      <c r="Q9" t="s">
        <v>399</v>
      </c>
    </row>
    <row r="10" spans="1:17" x14ac:dyDescent="0.25">
      <c r="A10" t="s">
        <v>179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>
        <f t="shared" si="0"/>
        <v>0</v>
      </c>
      <c r="Q10" t="s">
        <v>399</v>
      </c>
    </row>
    <row r="11" spans="1:17" x14ac:dyDescent="0.25">
      <c r="A11" s="18" t="s">
        <v>155</v>
      </c>
      <c r="B11" s="19">
        <v>100</v>
      </c>
      <c r="C11" s="19">
        <v>100</v>
      </c>
      <c r="D11" s="19">
        <v>100</v>
      </c>
      <c r="E11" s="19">
        <v>100</v>
      </c>
      <c r="F11" s="19">
        <v>100</v>
      </c>
      <c r="G11" s="19">
        <v>100</v>
      </c>
      <c r="H11" s="19">
        <v>100</v>
      </c>
      <c r="I11" s="19">
        <v>100</v>
      </c>
      <c r="J11" s="19">
        <v>100</v>
      </c>
      <c r="K11" s="19">
        <v>100</v>
      </c>
      <c r="L11" s="19">
        <v>100</v>
      </c>
      <c r="M11" s="19">
        <v>100</v>
      </c>
      <c r="N11" s="47">
        <f t="shared" si="0"/>
        <v>1200</v>
      </c>
      <c r="Q11" t="s">
        <v>399</v>
      </c>
    </row>
    <row r="12" spans="1:17" x14ac:dyDescent="0.25">
      <c r="A12" t="s">
        <v>180</v>
      </c>
      <c r="B12" s="10">
        <v>0</v>
      </c>
      <c r="C12" s="10">
        <v>0</v>
      </c>
      <c r="D12" s="10">
        <v>0</v>
      </c>
      <c r="E12" s="10">
        <v>79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2">
        <f t="shared" si="0"/>
        <v>79</v>
      </c>
      <c r="Q12" t="s">
        <v>399</v>
      </c>
    </row>
    <row r="13" spans="1:17" x14ac:dyDescent="0.2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2"/>
    </row>
    <row r="14" spans="1:17" s="5" customFormat="1" x14ac:dyDescent="0.25">
      <c r="A14" s="6" t="s">
        <v>181</v>
      </c>
      <c r="B14" s="4">
        <f>SUM(B6:B13)</f>
        <v>1046.3333333333333</v>
      </c>
      <c r="C14" s="4">
        <f t="shared" ref="C14:M14" si="1">SUM(C6:C13)</f>
        <v>1046.3333333333333</v>
      </c>
      <c r="D14" s="4">
        <f t="shared" si="1"/>
        <v>2846.3333333333335</v>
      </c>
      <c r="E14" s="4">
        <f t="shared" si="1"/>
        <v>1125.3333333333333</v>
      </c>
      <c r="F14" s="4">
        <f t="shared" si="1"/>
        <v>1046.3333333333333</v>
      </c>
      <c r="G14" s="4">
        <f t="shared" si="1"/>
        <v>3646.3333333333335</v>
      </c>
      <c r="H14" s="4">
        <f t="shared" si="1"/>
        <v>1046.3333333333333</v>
      </c>
      <c r="I14" s="4">
        <f t="shared" si="1"/>
        <v>1046.3333333333333</v>
      </c>
      <c r="J14" s="4">
        <f t="shared" si="1"/>
        <v>1046.3333333333333</v>
      </c>
      <c r="K14" s="4">
        <f t="shared" si="1"/>
        <v>1046.3333333333333</v>
      </c>
      <c r="L14" s="4">
        <f t="shared" si="1"/>
        <v>1046.3333333333333</v>
      </c>
      <c r="M14" s="4">
        <f t="shared" si="1"/>
        <v>1046.3333333333333</v>
      </c>
      <c r="N14" s="4">
        <f t="shared" si="0"/>
        <v>17035.000000000004</v>
      </c>
      <c r="Q14" s="5" t="s">
        <v>399</v>
      </c>
    </row>
    <row r="16" spans="1:17" ht="15.75" x14ac:dyDescent="0.25">
      <c r="A16" s="31" t="s">
        <v>58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</row>
    <row r="18" spans="1:17" x14ac:dyDescent="0.25">
      <c r="B18" s="29" t="str">
        <f>B5</f>
        <v>Jan</v>
      </c>
      <c r="C18" s="29" t="str">
        <f t="shared" ref="C18:M18" si="2">C5</f>
        <v>Feb</v>
      </c>
      <c r="D18" s="29" t="str">
        <f t="shared" si="2"/>
        <v>Mar</v>
      </c>
      <c r="E18" s="29" t="str">
        <f t="shared" si="2"/>
        <v>Apr</v>
      </c>
      <c r="F18" s="29" t="str">
        <f t="shared" si="2"/>
        <v>May</v>
      </c>
      <c r="G18" s="29" t="str">
        <f t="shared" si="2"/>
        <v>Jun</v>
      </c>
      <c r="H18" s="29" t="str">
        <f t="shared" si="2"/>
        <v>Jul</v>
      </c>
      <c r="I18" s="29" t="str">
        <f t="shared" si="2"/>
        <v>Aug</v>
      </c>
      <c r="J18" s="29" t="str">
        <f t="shared" si="2"/>
        <v>Sep</v>
      </c>
      <c r="K18" s="29" t="str">
        <f t="shared" si="2"/>
        <v>Oct</v>
      </c>
      <c r="L18" s="29" t="str">
        <f t="shared" si="2"/>
        <v>Nov</v>
      </c>
      <c r="M18" s="29" t="str">
        <f t="shared" si="2"/>
        <v>Dec</v>
      </c>
      <c r="N18" s="30" t="s">
        <v>3</v>
      </c>
    </row>
    <row r="19" spans="1:17" x14ac:dyDescent="0.25">
      <c r="A19" t="s">
        <v>182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84</v>
      </c>
      <c r="J19" s="3">
        <v>0</v>
      </c>
      <c r="K19" s="3">
        <v>0</v>
      </c>
      <c r="L19" s="3">
        <v>0</v>
      </c>
      <c r="M19" s="3">
        <v>0</v>
      </c>
      <c r="N19" s="4">
        <f>SUM(B19:M19)</f>
        <v>84</v>
      </c>
      <c r="Q19" t="s">
        <v>399</v>
      </c>
    </row>
    <row r="20" spans="1:17" x14ac:dyDescent="0.25">
      <c r="A20" s="18" t="s">
        <v>183</v>
      </c>
      <c r="B20" s="19">
        <v>0</v>
      </c>
      <c r="C20" s="19">
        <v>144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47">
        <f>SUM(B20:M20)</f>
        <v>144</v>
      </c>
      <c r="Q20" t="s">
        <v>399</v>
      </c>
    </row>
    <row r="21" spans="1:17" x14ac:dyDescent="0.25">
      <c r="A21" t="s">
        <v>184</v>
      </c>
      <c r="B21" s="3">
        <v>100</v>
      </c>
      <c r="C21" s="3">
        <v>100</v>
      </c>
      <c r="D21" s="3">
        <v>100</v>
      </c>
      <c r="E21" s="3">
        <v>100</v>
      </c>
      <c r="F21" s="3">
        <v>100</v>
      </c>
      <c r="G21" s="3">
        <v>100</v>
      </c>
      <c r="H21" s="3">
        <v>100</v>
      </c>
      <c r="I21" s="3">
        <v>100</v>
      </c>
      <c r="J21" s="3">
        <v>100</v>
      </c>
      <c r="K21" s="3">
        <v>100</v>
      </c>
      <c r="L21" s="3">
        <v>100</v>
      </c>
      <c r="M21" s="3">
        <v>100</v>
      </c>
      <c r="N21" s="4">
        <f>SUM(B21:M21)</f>
        <v>1200</v>
      </c>
      <c r="Q21" t="s">
        <v>399</v>
      </c>
    </row>
    <row r="22" spans="1:17" x14ac:dyDescent="0.25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4"/>
    </row>
    <row r="23" spans="1:17" x14ac:dyDescent="0.25">
      <c r="A23" s="6" t="s">
        <v>181</v>
      </c>
      <c r="B23" s="4">
        <f>SUM(B19:B22)</f>
        <v>100</v>
      </c>
      <c r="C23" s="4">
        <f>SUM(C19:C22)</f>
        <v>244</v>
      </c>
      <c r="D23" s="4">
        <f>SUM(D19:D22)</f>
        <v>100</v>
      </c>
      <c r="E23" s="4">
        <f>SUM(E19:E22)</f>
        <v>100</v>
      </c>
      <c r="F23" s="4">
        <f>SUM(F19:F22)</f>
        <v>100</v>
      </c>
      <c r="G23" s="4">
        <f>SUM(G19:G22)</f>
        <v>100</v>
      </c>
      <c r="H23" s="4">
        <f>SUM(H19:H22)</f>
        <v>100</v>
      </c>
      <c r="I23" s="4">
        <f>SUM(I19:I22)</f>
        <v>184</v>
      </c>
      <c r="J23" s="4">
        <f>SUM(J19:J22)</f>
        <v>100</v>
      </c>
      <c r="K23" s="4">
        <f>SUM(K19:K22)</f>
        <v>100</v>
      </c>
      <c r="L23" s="4">
        <f>SUM(L19:L22)</f>
        <v>100</v>
      </c>
      <c r="M23" s="4">
        <f>SUM(M19:M22)</f>
        <v>100</v>
      </c>
      <c r="N23" s="4">
        <f>SUM(B23:M23)</f>
        <v>1428</v>
      </c>
      <c r="Q23" s="5" t="s">
        <v>399</v>
      </c>
    </row>
    <row r="25" spans="1:17" ht="15.75" x14ac:dyDescent="0.25">
      <c r="A25" s="31" t="s">
        <v>26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3"/>
    </row>
    <row r="27" spans="1:17" x14ac:dyDescent="0.25">
      <c r="B27" s="29" t="str">
        <f>B18</f>
        <v>Jan</v>
      </c>
      <c r="C27" s="29" t="str">
        <f>C18</f>
        <v>Feb</v>
      </c>
      <c r="D27" s="29" t="str">
        <f>D18</f>
        <v>Mar</v>
      </c>
      <c r="E27" s="29" t="str">
        <f>E18</f>
        <v>Apr</v>
      </c>
      <c r="F27" s="29" t="str">
        <f>F18</f>
        <v>May</v>
      </c>
      <c r="G27" s="29" t="str">
        <f>G18</f>
        <v>Jun</v>
      </c>
      <c r="H27" s="29" t="str">
        <f>H18</f>
        <v>Jul</v>
      </c>
      <c r="I27" s="29" t="str">
        <f>I18</f>
        <v>Aug</v>
      </c>
      <c r="J27" s="29" t="str">
        <f>J18</f>
        <v>Sep</v>
      </c>
      <c r="K27" s="29" t="str">
        <f>K18</f>
        <v>Oct</v>
      </c>
      <c r="L27" s="29" t="str">
        <f>L18</f>
        <v>Nov</v>
      </c>
      <c r="M27" s="29" t="str">
        <f>M18</f>
        <v>Dec</v>
      </c>
      <c r="N27" s="30" t="s">
        <v>3</v>
      </c>
    </row>
    <row r="28" spans="1:17" x14ac:dyDescent="0.25">
      <c r="A28" t="s">
        <v>185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4">
        <f>SUM(B28:M28)</f>
        <v>0</v>
      </c>
      <c r="Q28" t="s">
        <v>399</v>
      </c>
    </row>
    <row r="29" spans="1:17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4"/>
    </row>
    <row r="30" spans="1:17" x14ac:dyDescent="0.25">
      <c r="A30" s="6" t="s">
        <v>181</v>
      </c>
      <c r="B30" s="4">
        <f>SUM(B28:B29)</f>
        <v>0</v>
      </c>
      <c r="C30" s="4">
        <f t="shared" ref="C30:N30" si="3">SUM(C28:C29)</f>
        <v>0</v>
      </c>
      <c r="D30" s="4">
        <f t="shared" si="3"/>
        <v>0</v>
      </c>
      <c r="E30" s="4">
        <f t="shared" si="3"/>
        <v>0</v>
      </c>
      <c r="F30" s="4">
        <f t="shared" si="3"/>
        <v>0</v>
      </c>
      <c r="G30" s="4">
        <f t="shared" si="3"/>
        <v>0</v>
      </c>
      <c r="H30" s="4">
        <f t="shared" si="3"/>
        <v>0</v>
      </c>
      <c r="I30" s="4">
        <f t="shared" si="3"/>
        <v>0</v>
      </c>
      <c r="J30" s="4">
        <f t="shared" si="3"/>
        <v>0</v>
      </c>
      <c r="K30" s="4">
        <f t="shared" si="3"/>
        <v>0</v>
      </c>
      <c r="L30" s="4">
        <f t="shared" si="3"/>
        <v>0</v>
      </c>
      <c r="M30" s="4">
        <f t="shared" si="3"/>
        <v>0</v>
      </c>
      <c r="N30" s="4">
        <f t="shared" si="3"/>
        <v>0</v>
      </c>
      <c r="Q30" s="5" t="s">
        <v>399</v>
      </c>
    </row>
    <row r="33" spans="1:17" ht="15.75" x14ac:dyDescent="0.25">
      <c r="A33" s="31" t="s">
        <v>257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3"/>
    </row>
    <row r="35" spans="1:17" x14ac:dyDescent="0.25">
      <c r="B35" s="29" t="str">
        <f>+B27</f>
        <v>Jan</v>
      </c>
      <c r="C35" s="29" t="str">
        <f t="shared" ref="C35:N35" si="4">+C27</f>
        <v>Feb</v>
      </c>
      <c r="D35" s="29" t="str">
        <f t="shared" si="4"/>
        <v>Mar</v>
      </c>
      <c r="E35" s="29" t="str">
        <f t="shared" si="4"/>
        <v>Apr</v>
      </c>
      <c r="F35" s="29" t="str">
        <f t="shared" si="4"/>
        <v>May</v>
      </c>
      <c r="G35" s="29" t="str">
        <f t="shared" si="4"/>
        <v>Jun</v>
      </c>
      <c r="H35" s="29" t="str">
        <f t="shared" si="4"/>
        <v>Jul</v>
      </c>
      <c r="I35" s="29" t="str">
        <f t="shared" si="4"/>
        <v>Aug</v>
      </c>
      <c r="J35" s="29" t="str">
        <f t="shared" si="4"/>
        <v>Sep</v>
      </c>
      <c r="K35" s="29" t="str">
        <f t="shared" si="4"/>
        <v>Oct</v>
      </c>
      <c r="L35" s="29" t="str">
        <f t="shared" si="4"/>
        <v>Nov</v>
      </c>
      <c r="M35" s="29" t="str">
        <f t="shared" si="4"/>
        <v>Dec</v>
      </c>
      <c r="N35" s="29" t="str">
        <f t="shared" si="4"/>
        <v>Total</v>
      </c>
    </row>
    <row r="36" spans="1:17" x14ac:dyDescent="0.25">
      <c r="A36" t="s">
        <v>28</v>
      </c>
      <c r="B36" s="3">
        <v>69</v>
      </c>
      <c r="C36" s="3">
        <v>69</v>
      </c>
      <c r="D36" s="3">
        <v>69</v>
      </c>
      <c r="E36" s="3">
        <v>69</v>
      </c>
      <c r="F36" s="3">
        <v>69</v>
      </c>
      <c r="G36" s="3">
        <v>69</v>
      </c>
      <c r="H36" s="3">
        <v>69</v>
      </c>
      <c r="I36" s="3">
        <v>69</v>
      </c>
      <c r="J36" s="3">
        <v>69</v>
      </c>
      <c r="K36" s="3">
        <v>69</v>
      </c>
      <c r="L36" s="3">
        <v>69</v>
      </c>
      <c r="M36" s="3">
        <v>69</v>
      </c>
      <c r="N36" s="4">
        <f>SUM(B36:M36)</f>
        <v>828</v>
      </c>
      <c r="Q36" t="s">
        <v>399</v>
      </c>
    </row>
    <row r="37" spans="1:17" x14ac:dyDescent="0.25">
      <c r="A37" t="s">
        <v>29</v>
      </c>
      <c r="B37" s="3">
        <v>200</v>
      </c>
      <c r="C37" s="3">
        <v>200</v>
      </c>
      <c r="D37" s="3">
        <v>200</v>
      </c>
      <c r="E37" s="3">
        <v>200</v>
      </c>
      <c r="F37" s="3">
        <v>200</v>
      </c>
      <c r="G37" s="3">
        <v>200</v>
      </c>
      <c r="H37" s="3">
        <v>200</v>
      </c>
      <c r="I37" s="3">
        <v>200</v>
      </c>
      <c r="J37" s="3">
        <v>200</v>
      </c>
      <c r="K37" s="3">
        <v>200</v>
      </c>
      <c r="L37" s="3">
        <v>200</v>
      </c>
      <c r="M37" s="3">
        <v>200</v>
      </c>
      <c r="N37" s="4">
        <f>SUM(B37:M37)</f>
        <v>2400</v>
      </c>
      <c r="Q37" t="s">
        <v>399</v>
      </c>
    </row>
    <row r="38" spans="1:17" x14ac:dyDescent="0.25">
      <c r="A38" t="s">
        <v>53</v>
      </c>
      <c r="B38" s="3">
        <v>100</v>
      </c>
      <c r="C38" s="3">
        <v>100</v>
      </c>
      <c r="D38" s="3">
        <v>100</v>
      </c>
      <c r="E38" s="3">
        <v>100</v>
      </c>
      <c r="F38" s="3">
        <v>100</v>
      </c>
      <c r="G38" s="3">
        <v>100</v>
      </c>
      <c r="H38" s="3">
        <v>100</v>
      </c>
      <c r="I38" s="3">
        <v>100</v>
      </c>
      <c r="J38" s="3">
        <v>100</v>
      </c>
      <c r="K38" s="3">
        <v>100</v>
      </c>
      <c r="L38" s="3">
        <v>100</v>
      </c>
      <c r="M38" s="3">
        <v>100</v>
      </c>
      <c r="N38" s="4">
        <f>SUM(B38:M38)</f>
        <v>1200</v>
      </c>
      <c r="Q38" t="s">
        <v>399</v>
      </c>
    </row>
    <row r="39" spans="1:17" x14ac:dyDescent="0.25">
      <c r="N39"/>
    </row>
    <row r="40" spans="1:17" x14ac:dyDescent="0.25">
      <c r="N40"/>
    </row>
    <row r="42" spans="1:17" x14ac:dyDescent="0.25">
      <c r="N42"/>
    </row>
    <row r="43" spans="1:17" x14ac:dyDescent="0.25">
      <c r="N43"/>
    </row>
    <row r="44" spans="1:17" x14ac:dyDescent="0.25">
      <c r="N44"/>
    </row>
    <row r="45" spans="1:17" x14ac:dyDescent="0.25">
      <c r="N45"/>
    </row>
    <row r="46" spans="1:17" x14ac:dyDescent="0.25">
      <c r="N46"/>
    </row>
    <row r="47" spans="1:17" x14ac:dyDescent="0.25">
      <c r="N47"/>
    </row>
  </sheetData>
  <pageMargins left="0.2" right="0.2" top="0.5" bottom="0.25" header="0.3" footer="0.3"/>
  <pageSetup scale="79" fitToHeight="0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F7A6A-09EC-45E8-B5CB-5D177BE8F72D}">
  <sheetPr>
    <tabColor rgb="FF0070C0"/>
  </sheetPr>
  <dimension ref="A1:O13"/>
  <sheetViews>
    <sheetView workbookViewId="0">
      <selection activeCell="C11" sqref="C11:N11"/>
    </sheetView>
  </sheetViews>
  <sheetFormatPr defaultColWidth="8.85546875" defaultRowHeight="15" x14ac:dyDescent="0.25"/>
  <cols>
    <col min="1" max="1" width="2.28515625" customWidth="1"/>
    <col min="2" max="2" width="12.7109375" customWidth="1"/>
    <col min="3" max="3" width="11.42578125" style="3" bestFit="1" customWidth="1"/>
    <col min="4" max="4" width="11.42578125" style="3" customWidth="1"/>
    <col min="5" max="5" width="9.140625" style="36"/>
    <col min="6" max="6" width="9.140625" style="97"/>
    <col min="7" max="7" width="10.42578125" style="3" bestFit="1" customWidth="1"/>
    <col min="8" max="8" width="11.42578125" style="3" bestFit="1" customWidth="1"/>
    <col min="9" max="9" width="13.42578125" bestFit="1" customWidth="1"/>
    <col min="12" max="12" width="11.42578125" bestFit="1" customWidth="1"/>
  </cols>
  <sheetData>
    <row r="1" spans="1:15" ht="18.75" x14ac:dyDescent="0.3">
      <c r="A1" s="89" t="s">
        <v>186</v>
      </c>
      <c r="B1" s="89"/>
      <c r="G1" s="92"/>
      <c r="H1" s="92"/>
      <c r="I1" s="3"/>
    </row>
    <row r="2" spans="1:15" ht="15.75" x14ac:dyDescent="0.25">
      <c r="A2" s="255"/>
      <c r="B2" s="255"/>
      <c r="G2" s="92"/>
      <c r="H2" s="92"/>
      <c r="I2" s="3"/>
    </row>
    <row r="3" spans="1:15" x14ac:dyDescent="0.25">
      <c r="A3" s="5"/>
      <c r="B3" s="5"/>
      <c r="G3" s="92"/>
      <c r="H3" s="92"/>
      <c r="I3" s="3"/>
    </row>
    <row r="4" spans="1:15" x14ac:dyDescent="0.25">
      <c r="A4" s="1"/>
      <c r="B4" s="1"/>
      <c r="C4" s="17" t="s">
        <v>187</v>
      </c>
      <c r="D4" s="17"/>
      <c r="E4" s="90"/>
      <c r="F4" s="98"/>
      <c r="G4" s="17"/>
      <c r="H4" s="17"/>
      <c r="I4" s="17" t="s">
        <v>188</v>
      </c>
    </row>
    <row r="5" spans="1:15" x14ac:dyDescent="0.25">
      <c r="A5" s="1"/>
      <c r="B5" s="1" t="s">
        <v>189</v>
      </c>
      <c r="C5" s="17" t="s">
        <v>190</v>
      </c>
      <c r="D5" s="17" t="s">
        <v>191</v>
      </c>
      <c r="E5" s="91" t="s">
        <v>192</v>
      </c>
      <c r="F5" s="99" t="s">
        <v>193</v>
      </c>
      <c r="G5" s="17" t="s">
        <v>194</v>
      </c>
      <c r="H5" s="17" t="s">
        <v>195</v>
      </c>
      <c r="I5" s="17" t="s">
        <v>196</v>
      </c>
    </row>
    <row r="6" spans="1:15" s="96" customFormat="1" x14ac:dyDescent="0.25">
      <c r="A6" s="93"/>
      <c r="B6" s="93"/>
      <c r="C6" s="94"/>
      <c r="D6" s="94"/>
      <c r="E6" s="95"/>
      <c r="F6" s="100"/>
      <c r="G6" s="94"/>
      <c r="H6" s="94"/>
      <c r="I6" s="94"/>
    </row>
    <row r="7" spans="1:15" x14ac:dyDescent="0.25">
      <c r="A7" s="256" t="s">
        <v>197</v>
      </c>
      <c r="B7" s="256"/>
      <c r="C7" s="256"/>
      <c r="D7" s="94"/>
      <c r="E7" s="95"/>
      <c r="F7" s="100"/>
      <c r="G7" s="94"/>
      <c r="H7" s="94"/>
      <c r="I7" s="94"/>
    </row>
    <row r="8" spans="1:15" x14ac:dyDescent="0.25">
      <c r="A8" s="34"/>
      <c r="B8" s="34"/>
      <c r="I8" s="7"/>
    </row>
    <row r="9" spans="1:15" x14ac:dyDescent="0.25">
      <c r="A9" s="34"/>
      <c r="C9" s="49" t="s">
        <v>373</v>
      </c>
      <c r="D9" s="49" t="s">
        <v>349</v>
      </c>
      <c r="E9" s="49" t="s">
        <v>324</v>
      </c>
      <c r="F9" s="49" t="s">
        <v>339</v>
      </c>
      <c r="G9" s="49" t="s">
        <v>227</v>
      </c>
      <c r="H9" s="49" t="s">
        <v>341</v>
      </c>
      <c r="I9" s="49" t="s">
        <v>362</v>
      </c>
      <c r="J9" s="49" t="s">
        <v>344</v>
      </c>
      <c r="K9" s="49" t="s">
        <v>346</v>
      </c>
      <c r="L9" s="49" t="s">
        <v>374</v>
      </c>
      <c r="M9" s="49" t="s">
        <v>296</v>
      </c>
      <c r="N9" s="49" t="s">
        <v>348</v>
      </c>
      <c r="O9" s="50" t="s">
        <v>3</v>
      </c>
    </row>
    <row r="10" spans="1:15" x14ac:dyDescent="0.25">
      <c r="A10" s="34"/>
      <c r="B10" t="s">
        <v>400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5"/>
    </row>
    <row r="11" spans="1:15" x14ac:dyDescent="0.25">
      <c r="A11" s="34"/>
      <c r="B11" t="s">
        <v>394</v>
      </c>
      <c r="C11" s="203">
        <v>0.06</v>
      </c>
      <c r="D11" s="203">
        <v>0.06</v>
      </c>
      <c r="E11" s="203">
        <v>0.06</v>
      </c>
      <c r="F11" s="203">
        <v>0.06</v>
      </c>
      <c r="G11" s="203">
        <v>0.06</v>
      </c>
      <c r="H11" s="203">
        <v>0.06</v>
      </c>
      <c r="I11" s="203">
        <v>0.06</v>
      </c>
      <c r="J11" s="203">
        <v>0.06</v>
      </c>
      <c r="K11" s="203">
        <v>0.06</v>
      </c>
      <c r="L11" s="203">
        <v>0.06</v>
      </c>
      <c r="M11" s="203">
        <v>0.06</v>
      </c>
      <c r="N11" s="203">
        <v>0.06</v>
      </c>
    </row>
    <row r="12" spans="1:15" x14ac:dyDescent="0.25">
      <c r="B12" t="s">
        <v>395</v>
      </c>
      <c r="C12" s="183">
        <v>31</v>
      </c>
      <c r="D12" s="183">
        <v>28</v>
      </c>
      <c r="E12" s="183">
        <v>31</v>
      </c>
      <c r="F12" s="183">
        <v>30</v>
      </c>
      <c r="G12" s="183">
        <v>31</v>
      </c>
      <c r="H12" s="183">
        <v>30</v>
      </c>
      <c r="I12" s="183">
        <v>31</v>
      </c>
      <c r="J12" s="183">
        <v>31</v>
      </c>
      <c r="K12" s="183">
        <v>30</v>
      </c>
      <c r="L12" s="183">
        <v>31</v>
      </c>
      <c r="M12" s="183">
        <v>30</v>
      </c>
      <c r="N12" s="183">
        <v>31</v>
      </c>
    </row>
    <row r="13" spans="1:15" x14ac:dyDescent="0.25">
      <c r="B13" t="s">
        <v>39</v>
      </c>
      <c r="C13" s="35">
        <f>+C10*(C11/365)*C12</f>
        <v>0</v>
      </c>
      <c r="D13" s="35">
        <f t="shared" ref="D13:N13" si="0">+D10*(D11/365)*D12</f>
        <v>0</v>
      </c>
      <c r="E13" s="35">
        <f t="shared" si="0"/>
        <v>0</v>
      </c>
      <c r="F13" s="35">
        <f t="shared" si="0"/>
        <v>0</v>
      </c>
      <c r="G13" s="35">
        <f t="shared" si="0"/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5">
        <f t="shared" si="0"/>
        <v>0</v>
      </c>
      <c r="L13" s="35">
        <f t="shared" si="0"/>
        <v>0</v>
      </c>
      <c r="M13" s="35">
        <f t="shared" si="0"/>
        <v>0</v>
      </c>
      <c r="N13" s="35">
        <f t="shared" si="0"/>
        <v>0</v>
      </c>
      <c r="O13" s="402">
        <f>+SUM(C13:N13)</f>
        <v>0</v>
      </c>
    </row>
  </sheetData>
  <mergeCells count="2">
    <mergeCell ref="A2:B2"/>
    <mergeCell ref="A7:C7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7A6A8-1C52-41D6-823F-87D18C6DBE65}">
  <sheetPr>
    <tabColor rgb="FF0070C0"/>
    <pageSetUpPr fitToPage="1"/>
  </sheetPr>
  <dimension ref="A1:BH32"/>
  <sheetViews>
    <sheetView workbookViewId="0">
      <pane xSplit="1" ySplit="9" topLeftCell="E10" activePane="bottomRight" state="frozen"/>
      <selection activeCell="E43" sqref="E43"/>
      <selection pane="topRight" activeCell="E43" sqref="E43"/>
      <selection pane="bottomLeft" activeCell="E43" sqref="E43"/>
      <selection pane="bottomRight" activeCell="E10" sqref="E10"/>
    </sheetView>
  </sheetViews>
  <sheetFormatPr defaultColWidth="8.85546875" defaultRowHeight="15" x14ac:dyDescent="0.25"/>
  <cols>
    <col min="1" max="1" width="26.140625" customWidth="1"/>
    <col min="2" max="2" width="11.7109375" style="3" hidden="1" customWidth="1"/>
    <col min="3" max="3" width="9.7109375" hidden="1" customWidth="1"/>
    <col min="4" max="4" width="10.42578125" hidden="1" customWidth="1"/>
    <col min="5" max="5" width="13.85546875" bestFit="1" customWidth="1"/>
    <col min="6" max="15" width="11.28515625" bestFit="1" customWidth="1"/>
    <col min="16" max="16" width="12.140625" customWidth="1"/>
    <col min="17" max="19" width="10" bestFit="1" customWidth="1"/>
    <col min="20" max="27" width="9.7109375" bestFit="1" customWidth="1"/>
    <col min="28" max="28" width="10" bestFit="1" customWidth="1"/>
    <col min="29" max="31" width="9.7109375" bestFit="1" customWidth="1"/>
    <col min="32" max="40" width="10.7109375" bestFit="1" customWidth="1"/>
    <col min="41" max="45" width="10" bestFit="1" customWidth="1"/>
    <col min="51" max="51" width="9.7109375" bestFit="1" customWidth="1"/>
    <col min="52" max="52" width="10" bestFit="1" customWidth="1"/>
    <col min="60" max="60" width="10" bestFit="1" customWidth="1"/>
  </cols>
  <sheetData>
    <row r="1" spans="1:52" ht="18.75" x14ac:dyDescent="0.3">
      <c r="A1" s="20" t="s">
        <v>198</v>
      </c>
    </row>
    <row r="3" spans="1:52" hidden="1" x14ac:dyDescent="0.25">
      <c r="A3" t="s">
        <v>199</v>
      </c>
      <c r="B3" s="3">
        <v>72565</v>
      </c>
    </row>
    <row r="4" spans="1:52" hidden="1" x14ac:dyDescent="0.25">
      <c r="A4" t="s">
        <v>200</v>
      </c>
      <c r="B4" s="3">
        <v>38</v>
      </c>
    </row>
    <row r="5" spans="1:52" hidden="1" x14ac:dyDescent="0.25">
      <c r="A5" t="s">
        <v>201</v>
      </c>
      <c r="B5" s="3">
        <v>35579</v>
      </c>
    </row>
    <row r="6" spans="1:52" hidden="1" x14ac:dyDescent="0.25"/>
    <row r="7" spans="1:52" hidden="1" x14ac:dyDescent="0.25">
      <c r="A7" t="s">
        <v>3</v>
      </c>
      <c r="B7" s="3">
        <f>SUM(B3:B6)</f>
        <v>108182</v>
      </c>
    </row>
    <row r="9" spans="1:52" x14ac:dyDescent="0.25">
      <c r="B9" s="40">
        <v>44135</v>
      </c>
      <c r="C9" s="40">
        <v>44165</v>
      </c>
      <c r="D9" s="40">
        <v>44196</v>
      </c>
      <c r="E9" s="40" t="str">
        <f>'Income Statement'!J5</f>
        <v>Jan</v>
      </c>
      <c r="F9" s="40" t="str">
        <f>'Income Statement'!K5</f>
        <v>Feb</v>
      </c>
      <c r="G9" s="40" t="str">
        <f>'Income Statement'!L5</f>
        <v>Mar</v>
      </c>
      <c r="H9" s="40" t="str">
        <f>'Income Statement'!M5</f>
        <v>Apr</v>
      </c>
      <c r="I9" s="40" t="str">
        <f>'Income Statement'!N5</f>
        <v>May</v>
      </c>
      <c r="J9" s="40" t="str">
        <f>'Income Statement'!O5</f>
        <v>Jun</v>
      </c>
      <c r="K9" s="40" t="str">
        <f>'Income Statement'!P5</f>
        <v>Jul</v>
      </c>
      <c r="L9" s="40" t="str">
        <f>'Income Statement'!Q5</f>
        <v>Aug</v>
      </c>
      <c r="M9" s="40" t="str">
        <f>'Income Statement'!R5</f>
        <v>Sep</v>
      </c>
      <c r="N9" s="40" t="str">
        <f>'Income Statement'!S5</f>
        <v>Oct</v>
      </c>
      <c r="O9" s="40" t="str">
        <f>'Income Statement'!T5</f>
        <v>Nov</v>
      </c>
      <c r="P9" s="40" t="str">
        <f>'Income Statement'!U5</f>
        <v>Dec</v>
      </c>
      <c r="Q9" s="40" t="e">
        <f>EOMONTH(P9,1)</f>
        <v>#VALUE!</v>
      </c>
      <c r="R9" s="40" t="e">
        <f t="shared" ref="R9:AZ9" si="0">EOMONTH(Q9,1)</f>
        <v>#VALUE!</v>
      </c>
      <c r="S9" s="40" t="e">
        <f t="shared" si="0"/>
        <v>#VALUE!</v>
      </c>
      <c r="T9" s="40" t="e">
        <f t="shared" si="0"/>
        <v>#VALUE!</v>
      </c>
      <c r="U9" s="40" t="e">
        <f t="shared" si="0"/>
        <v>#VALUE!</v>
      </c>
      <c r="V9" s="40" t="e">
        <f t="shared" si="0"/>
        <v>#VALUE!</v>
      </c>
      <c r="W9" s="40" t="e">
        <f t="shared" si="0"/>
        <v>#VALUE!</v>
      </c>
      <c r="X9" s="40" t="e">
        <f t="shared" si="0"/>
        <v>#VALUE!</v>
      </c>
      <c r="Y9" s="40" t="e">
        <f t="shared" si="0"/>
        <v>#VALUE!</v>
      </c>
      <c r="Z9" s="40" t="e">
        <f t="shared" si="0"/>
        <v>#VALUE!</v>
      </c>
      <c r="AA9" s="40" t="e">
        <f t="shared" si="0"/>
        <v>#VALUE!</v>
      </c>
      <c r="AB9" s="40" t="e">
        <f t="shared" si="0"/>
        <v>#VALUE!</v>
      </c>
      <c r="AC9" s="40" t="e">
        <f t="shared" si="0"/>
        <v>#VALUE!</v>
      </c>
      <c r="AD9" s="40" t="e">
        <f t="shared" si="0"/>
        <v>#VALUE!</v>
      </c>
      <c r="AE9" s="40" t="e">
        <f t="shared" si="0"/>
        <v>#VALUE!</v>
      </c>
      <c r="AF9" s="40" t="e">
        <f t="shared" si="0"/>
        <v>#VALUE!</v>
      </c>
      <c r="AG9" s="40" t="e">
        <f t="shared" si="0"/>
        <v>#VALUE!</v>
      </c>
      <c r="AH9" s="40" t="e">
        <f t="shared" si="0"/>
        <v>#VALUE!</v>
      </c>
      <c r="AI9" s="40" t="e">
        <f t="shared" si="0"/>
        <v>#VALUE!</v>
      </c>
      <c r="AJ9" s="40" t="e">
        <f t="shared" si="0"/>
        <v>#VALUE!</v>
      </c>
      <c r="AK9" s="40" t="e">
        <f t="shared" si="0"/>
        <v>#VALUE!</v>
      </c>
      <c r="AL9" s="40" t="e">
        <f t="shared" si="0"/>
        <v>#VALUE!</v>
      </c>
      <c r="AM9" s="40" t="e">
        <f t="shared" si="0"/>
        <v>#VALUE!</v>
      </c>
      <c r="AN9" s="40" t="e">
        <f t="shared" si="0"/>
        <v>#VALUE!</v>
      </c>
      <c r="AO9" s="40" t="e">
        <f t="shared" si="0"/>
        <v>#VALUE!</v>
      </c>
      <c r="AP9" s="40" t="e">
        <f t="shared" si="0"/>
        <v>#VALUE!</v>
      </c>
      <c r="AQ9" s="40" t="e">
        <f t="shared" si="0"/>
        <v>#VALUE!</v>
      </c>
      <c r="AR9" s="40" t="e">
        <f t="shared" si="0"/>
        <v>#VALUE!</v>
      </c>
      <c r="AS9" s="40" t="e">
        <f t="shared" si="0"/>
        <v>#VALUE!</v>
      </c>
      <c r="AT9" s="40" t="e">
        <f t="shared" si="0"/>
        <v>#VALUE!</v>
      </c>
      <c r="AU9" s="40" t="e">
        <f t="shared" si="0"/>
        <v>#VALUE!</v>
      </c>
      <c r="AV9" s="40" t="e">
        <f t="shared" si="0"/>
        <v>#VALUE!</v>
      </c>
      <c r="AW9" s="40" t="e">
        <f t="shared" si="0"/>
        <v>#VALUE!</v>
      </c>
      <c r="AX9" s="40" t="e">
        <f t="shared" si="0"/>
        <v>#VALUE!</v>
      </c>
      <c r="AY9" s="40" t="e">
        <f t="shared" si="0"/>
        <v>#VALUE!</v>
      </c>
      <c r="AZ9" s="40" t="e">
        <f t="shared" si="0"/>
        <v>#VALUE!</v>
      </c>
    </row>
    <row r="10" spans="1:52" s="3" customFormat="1" x14ac:dyDescent="0.25">
      <c r="A10" s="3" t="s">
        <v>202</v>
      </c>
      <c r="B10" s="3">
        <f>'Income Statement'!S12</f>
        <v>0</v>
      </c>
      <c r="C10" s="3">
        <f>'Income Statement'!T12</f>
        <v>1327.1874807693544</v>
      </c>
      <c r="D10" s="3">
        <f>'Income Statement'!U12</f>
        <v>10545.370091765197</v>
      </c>
      <c r="E10" s="3">
        <f>'Income Statement'!J12</f>
        <v>0</v>
      </c>
      <c r="F10" s="3">
        <f>'Income Statement'!K12</f>
        <v>0</v>
      </c>
      <c r="G10" s="3">
        <f>'Income Statement'!L12</f>
        <v>3029.4496843648308</v>
      </c>
      <c r="H10" s="3">
        <f>'Income Statement'!M12</f>
        <v>10460.737846614687</v>
      </c>
      <c r="I10" s="3">
        <f>'Income Statement'!N12</f>
        <v>18016.493113039302</v>
      </c>
      <c r="J10" s="3">
        <f>'Income Statement'!O12</f>
        <v>10415.536533863846</v>
      </c>
      <c r="K10" s="3">
        <f>'Income Statement'!P12</f>
        <v>5592.4602903433306</v>
      </c>
      <c r="L10" s="3">
        <f>'Income Statement'!Q12</f>
        <v>3438.1849592394506</v>
      </c>
      <c r="M10" s="3">
        <f>'Income Statement'!R12</f>
        <v>0</v>
      </c>
      <c r="N10" s="3">
        <f>'Income Statement'!S12</f>
        <v>0</v>
      </c>
      <c r="O10" s="3">
        <f>'Income Statement'!T12</f>
        <v>1327.1874807693544</v>
      </c>
      <c r="P10" s="3">
        <f>'Income Statement'!U12</f>
        <v>10545.370091765197</v>
      </c>
      <c r="Q10" s="3">
        <f>E10</f>
        <v>0</v>
      </c>
      <c r="R10" s="3">
        <f t="shared" ref="R10:AN11" si="1">F10</f>
        <v>0</v>
      </c>
      <c r="S10" s="3">
        <f t="shared" si="1"/>
        <v>3029.4496843648308</v>
      </c>
      <c r="T10" s="3">
        <f t="shared" si="1"/>
        <v>10460.737846614687</v>
      </c>
      <c r="U10" s="3">
        <f t="shared" si="1"/>
        <v>18016.493113039302</v>
      </c>
      <c r="V10" s="3">
        <f t="shared" si="1"/>
        <v>10415.536533863846</v>
      </c>
      <c r="W10" s="3">
        <f t="shared" si="1"/>
        <v>5592.4602903433306</v>
      </c>
      <c r="X10" s="3">
        <f t="shared" si="1"/>
        <v>3438.1849592394506</v>
      </c>
      <c r="Y10" s="3">
        <f t="shared" si="1"/>
        <v>0</v>
      </c>
      <c r="Z10" s="3">
        <f t="shared" si="1"/>
        <v>0</v>
      </c>
      <c r="AA10" s="3">
        <f t="shared" si="1"/>
        <v>1327.1874807693544</v>
      </c>
      <c r="AB10" s="3">
        <f t="shared" si="1"/>
        <v>10545.370091765197</v>
      </c>
      <c r="AC10" s="3">
        <f t="shared" si="1"/>
        <v>0</v>
      </c>
      <c r="AD10" s="3">
        <f t="shared" si="1"/>
        <v>0</v>
      </c>
      <c r="AE10" s="3">
        <f t="shared" si="1"/>
        <v>3029.4496843648308</v>
      </c>
      <c r="AF10" s="3">
        <f t="shared" si="1"/>
        <v>10460.737846614687</v>
      </c>
      <c r="AG10" s="3">
        <f t="shared" si="1"/>
        <v>18016.493113039302</v>
      </c>
      <c r="AH10" s="3">
        <f t="shared" si="1"/>
        <v>10415.536533863846</v>
      </c>
      <c r="AI10" s="3">
        <f t="shared" si="1"/>
        <v>5592.4602903433306</v>
      </c>
      <c r="AJ10" s="3">
        <f t="shared" si="1"/>
        <v>3438.1849592394506</v>
      </c>
      <c r="AK10" s="3">
        <f t="shared" si="1"/>
        <v>0</v>
      </c>
      <c r="AL10" s="3">
        <f t="shared" si="1"/>
        <v>0</v>
      </c>
      <c r="AM10" s="3">
        <f t="shared" si="1"/>
        <v>1327.1874807693544</v>
      </c>
      <c r="AN10" s="3">
        <f t="shared" si="1"/>
        <v>10545.370091765197</v>
      </c>
      <c r="AO10" s="3">
        <f t="shared" ref="AO10:AO11" si="2">AC10</f>
        <v>0</v>
      </c>
      <c r="AP10" s="3">
        <f t="shared" ref="AP10:AP11" si="3">AD10</f>
        <v>0</v>
      </c>
      <c r="AQ10" s="3">
        <f t="shared" ref="AQ10:AQ11" si="4">AE10</f>
        <v>3029.4496843648308</v>
      </c>
      <c r="AR10" s="3">
        <f t="shared" ref="AR10:AR11" si="5">AF10</f>
        <v>10460.737846614687</v>
      </c>
      <c r="AS10" s="3">
        <f t="shared" ref="AS10:AS11" si="6">AG10</f>
        <v>18016.493113039302</v>
      </c>
      <c r="AT10" s="3">
        <f t="shared" ref="AT10:AT11" si="7">AH10</f>
        <v>10415.536533863846</v>
      </c>
      <c r="AU10" s="3">
        <f t="shared" ref="AU10:AU11" si="8">AI10</f>
        <v>5592.4602903433306</v>
      </c>
      <c r="AV10" s="3">
        <f t="shared" ref="AV10:AV11" si="9">AJ10</f>
        <v>3438.1849592394506</v>
      </c>
      <c r="AW10" s="3">
        <f t="shared" ref="AW10:AW11" si="10">AK10</f>
        <v>0</v>
      </c>
      <c r="AX10" s="3">
        <f t="shared" ref="AX10:AX11" si="11">AL10</f>
        <v>0</v>
      </c>
      <c r="AY10" s="3">
        <f t="shared" ref="AY10:AY11" si="12">AM10</f>
        <v>1327.1874807693544</v>
      </c>
      <c r="AZ10" s="3">
        <f t="shared" ref="AZ10:AZ11" si="13">AN10</f>
        <v>10545.370091765197</v>
      </c>
    </row>
    <row r="11" spans="1:52" s="3" customFormat="1" x14ac:dyDescent="0.25">
      <c r="A11" s="3" t="s">
        <v>203</v>
      </c>
      <c r="B11" s="3">
        <f ca="1">'Income Statement'!J28+'Income Statement'!J45+'Income Statement'!J55-'Income Statement'!J49-1367.25</f>
        <v>13898.224166666667</v>
      </c>
      <c r="C11" s="3">
        <f ca="1">'Income Statement'!K28+'Income Statement'!K45+'Income Statement'!K55-'Income Statement'!K49</f>
        <v>18099.474166666667</v>
      </c>
      <c r="D11" s="3">
        <f ca="1">'Income Statement'!L28+'Income Statement'!L45+'Income Statement'!L55-'Income Statement'!L49</f>
        <v>19268.807499999999</v>
      </c>
      <c r="E11" s="3">
        <f ca="1">'Income Statement'!J28+'Income Statement'!J45+'Income Statement'!J55-'Income Statement'!J49</f>
        <v>15265.474166666667</v>
      </c>
      <c r="F11" s="3">
        <f ca="1">'Income Statement'!K28+'Income Statement'!K45+'Income Statement'!K55-'Income Statement'!K49</f>
        <v>18099.474166666667</v>
      </c>
      <c r="G11" s="3">
        <f ca="1">'Income Statement'!L28+'Income Statement'!L45+'Income Statement'!L55-'Income Statement'!L49</f>
        <v>19268.807499999999</v>
      </c>
      <c r="H11" s="3">
        <f ca="1">'Income Statement'!M28+'Income Statement'!M45+'Income Statement'!M55-'Income Statement'!M49</f>
        <v>24439.807499999999</v>
      </c>
      <c r="I11" s="3">
        <f ca="1">'Income Statement'!N28+'Income Statement'!N45+'Income Statement'!N55-'Income Statement'!N49</f>
        <v>32304.807499999999</v>
      </c>
      <c r="J11" s="3">
        <f ca="1">'Income Statement'!O28+'Income Statement'!O45+'Income Statement'!O55-'Income Statement'!O49</f>
        <v>29408.617499999997</v>
      </c>
      <c r="K11" s="3">
        <f ca="1">'Income Statement'!P28+'Income Statement'!P45+'Income Statement'!P55-'Income Statement'!P49</f>
        <v>20953.474166666663</v>
      </c>
      <c r="L11" s="3">
        <f ca="1">'Income Statement'!Q28+'Income Statement'!Q45+'Income Statement'!Q55-'Income Statement'!Q49</f>
        <v>17399.974166666663</v>
      </c>
      <c r="M11" s="3">
        <f ca="1">'Income Statement'!R28+'Income Statement'!R45+'Income Statement'!R55-'Income Statement'!R49</f>
        <v>15210.474166666667</v>
      </c>
      <c r="N11" s="3">
        <f ca="1">'Income Statement'!S28+'Income Statement'!S45+'Income Statement'!S55-'Income Statement'!S49</f>
        <v>14598.807500000001</v>
      </c>
      <c r="O11" s="3">
        <f ca="1">'Income Statement'!T28+'Income Statement'!T45+'Income Statement'!T55-'Income Statement'!T49</f>
        <v>16218.807500000001</v>
      </c>
      <c r="P11" s="3">
        <f ca="1">'Income Statement'!U28+'Income Statement'!U45+'Income Statement'!U55-'Income Statement'!U49</f>
        <v>23715.474166666663</v>
      </c>
      <c r="Q11" s="3">
        <f ca="1">E11</f>
        <v>15265.474166666667</v>
      </c>
      <c r="R11" s="3">
        <f t="shared" ca="1" si="1"/>
        <v>18099.474166666667</v>
      </c>
      <c r="S11" s="3">
        <f t="shared" ca="1" si="1"/>
        <v>19268.807499999999</v>
      </c>
      <c r="T11" s="3">
        <f t="shared" ca="1" si="1"/>
        <v>24439.807499999999</v>
      </c>
      <c r="U11" s="3">
        <f t="shared" ca="1" si="1"/>
        <v>32304.807499999999</v>
      </c>
      <c r="V11" s="3">
        <f t="shared" ca="1" si="1"/>
        <v>29408.617499999997</v>
      </c>
      <c r="W11" s="3">
        <f t="shared" ca="1" si="1"/>
        <v>20953.474166666663</v>
      </c>
      <c r="X11" s="3">
        <f t="shared" ca="1" si="1"/>
        <v>17399.974166666663</v>
      </c>
      <c r="Y11" s="3">
        <f t="shared" ca="1" si="1"/>
        <v>15210.474166666667</v>
      </c>
      <c r="Z11" s="3">
        <f t="shared" ca="1" si="1"/>
        <v>14598.807500000001</v>
      </c>
      <c r="AA11" s="3">
        <f t="shared" ca="1" si="1"/>
        <v>16218.807500000001</v>
      </c>
      <c r="AB11" s="3">
        <f t="shared" ca="1" si="1"/>
        <v>23715.474166666663</v>
      </c>
      <c r="AC11" s="3">
        <f t="shared" ca="1" si="1"/>
        <v>15265.474166666667</v>
      </c>
      <c r="AD11" s="3">
        <f t="shared" ca="1" si="1"/>
        <v>18099.474166666667</v>
      </c>
      <c r="AE11" s="3">
        <f t="shared" ca="1" si="1"/>
        <v>19268.807499999999</v>
      </c>
      <c r="AF11" s="3">
        <f t="shared" ca="1" si="1"/>
        <v>24439.807499999999</v>
      </c>
      <c r="AG11" s="3">
        <f t="shared" ca="1" si="1"/>
        <v>32304.807499999999</v>
      </c>
      <c r="AH11" s="3">
        <f t="shared" ca="1" si="1"/>
        <v>29408.617499999997</v>
      </c>
      <c r="AI11" s="3">
        <f t="shared" ca="1" si="1"/>
        <v>20953.474166666663</v>
      </c>
      <c r="AJ11" s="3">
        <f t="shared" ca="1" si="1"/>
        <v>17399.974166666663</v>
      </c>
      <c r="AK11" s="3">
        <f t="shared" ca="1" si="1"/>
        <v>15210.474166666667</v>
      </c>
      <c r="AL11" s="3">
        <f t="shared" ca="1" si="1"/>
        <v>14598.807500000001</v>
      </c>
      <c r="AM11" s="3">
        <f t="shared" ca="1" si="1"/>
        <v>16218.807500000001</v>
      </c>
      <c r="AN11" s="3">
        <f t="shared" ca="1" si="1"/>
        <v>23715.474166666663</v>
      </c>
      <c r="AO11" s="3">
        <f t="shared" ca="1" si="2"/>
        <v>15265.474166666667</v>
      </c>
      <c r="AP11" s="3">
        <f t="shared" ca="1" si="3"/>
        <v>18099.474166666667</v>
      </c>
      <c r="AQ11" s="3">
        <f t="shared" ca="1" si="4"/>
        <v>19268.807499999999</v>
      </c>
      <c r="AR11" s="3">
        <f t="shared" ca="1" si="5"/>
        <v>24439.807499999999</v>
      </c>
      <c r="AS11" s="3">
        <f t="shared" ca="1" si="6"/>
        <v>32304.807499999999</v>
      </c>
      <c r="AT11" s="3">
        <f t="shared" ca="1" si="7"/>
        <v>29408.617499999997</v>
      </c>
      <c r="AU11" s="3">
        <f t="shared" ca="1" si="8"/>
        <v>20953.474166666663</v>
      </c>
      <c r="AV11" s="3">
        <f t="shared" ca="1" si="9"/>
        <v>17399.974166666663</v>
      </c>
      <c r="AW11" s="3">
        <f t="shared" ca="1" si="10"/>
        <v>15210.474166666667</v>
      </c>
      <c r="AX11" s="3">
        <f t="shared" ca="1" si="11"/>
        <v>14598.807500000001</v>
      </c>
      <c r="AY11" s="3">
        <f t="shared" ca="1" si="12"/>
        <v>16218.807500000001</v>
      </c>
      <c r="AZ11" s="3">
        <f t="shared" ca="1" si="13"/>
        <v>23715.474166666663</v>
      </c>
    </row>
    <row r="12" spans="1:52" s="3" customFormat="1" x14ac:dyDescent="0.25">
      <c r="A12" s="3" t="s">
        <v>204</v>
      </c>
      <c r="B12" s="3">
        <v>32956.480000000003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</row>
    <row r="13" spans="1:52" s="3" customFormat="1" x14ac:dyDescent="0.25">
      <c r="A13" s="3" t="s">
        <v>38</v>
      </c>
      <c r="B13" s="3">
        <v>0</v>
      </c>
      <c r="C13" s="3">
        <v>0</v>
      </c>
      <c r="D13" s="3">
        <v>0</v>
      </c>
      <c r="E13" s="3">
        <f>'Income Statement'!J36</f>
        <v>0</v>
      </c>
      <c r="F13" s="3">
        <f>'Income Statement'!K36</f>
        <v>0</v>
      </c>
      <c r="G13" s="3">
        <f>'Income Statement'!L36</f>
        <v>0</v>
      </c>
      <c r="H13" s="3">
        <f>'Income Statement'!M36</f>
        <v>0</v>
      </c>
      <c r="I13" s="3">
        <f>'Income Statement'!N36</f>
        <v>0</v>
      </c>
      <c r="J13" s="3">
        <f>'Income Statement'!O36</f>
        <v>0</v>
      </c>
      <c r="K13" s="3">
        <f>'Income Statement'!P36</f>
        <v>0</v>
      </c>
      <c r="L13" s="3">
        <f>'Income Statement'!Q36</f>
        <v>0</v>
      </c>
      <c r="M13" s="3">
        <f>'Income Statement'!R36</f>
        <v>0</v>
      </c>
      <c r="N13" s="3">
        <f>'Income Statement'!S36</f>
        <v>0</v>
      </c>
      <c r="O13" s="3">
        <f>'Income Statement'!T36</f>
        <v>0</v>
      </c>
      <c r="P13" s="3">
        <f>'Income Statement'!U36</f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</row>
    <row r="14" spans="1:52" s="3" customFormat="1" x14ac:dyDescent="0.25">
      <c r="A14" s="3" t="s">
        <v>205</v>
      </c>
      <c r="B14" s="3">
        <v>0</v>
      </c>
      <c r="C14" s="3">
        <v>0</v>
      </c>
      <c r="D14" s="3">
        <v>0</v>
      </c>
      <c r="E14" s="3">
        <f>'Income Statement'!J35</f>
        <v>43784.391050063154</v>
      </c>
      <c r="F14" s="3">
        <f>'Income Statement'!K35</f>
        <v>11243.670429000689</v>
      </c>
      <c r="G14" s="3">
        <f>'Income Statement'!L35</f>
        <v>2204.7206429762336</v>
      </c>
      <c r="H14" s="3">
        <f>'Income Statement'!M35</f>
        <v>0</v>
      </c>
      <c r="I14" s="3">
        <f>'Income Statement'!N35</f>
        <v>1703.0957011478606</v>
      </c>
      <c r="J14" s="3">
        <f>'Income Statement'!O35</f>
        <v>4431.8014727122227</v>
      </c>
      <c r="K14" s="3">
        <f>'Income Statement'!P35</f>
        <v>2074.0474624136473</v>
      </c>
      <c r="L14" s="3">
        <f>'Income Statement'!Q35</f>
        <v>1340.0696606764434</v>
      </c>
      <c r="M14" s="3">
        <f>'Income Statement'!R35</f>
        <v>0</v>
      </c>
      <c r="N14" s="3">
        <f>'Income Statement'!S35</f>
        <v>4311.0626926738187</v>
      </c>
      <c r="O14" s="3">
        <f>'Income Statement'!T35</f>
        <v>3652.7607319201902</v>
      </c>
      <c r="P14" s="3">
        <f>'Income Statement'!U35</f>
        <v>106839.23015641575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100000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100000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80000</v>
      </c>
    </row>
    <row r="15" spans="1:52" s="3" customFormat="1" x14ac:dyDescent="0.25">
      <c r="A15" s="3" t="s">
        <v>206</v>
      </c>
      <c r="B15" s="3">
        <v>0</v>
      </c>
      <c r="C15" s="15">
        <v>0</v>
      </c>
      <c r="D15" s="3">
        <v>1748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 t="str">
        <f>'Sch B Loan'!D9</f>
        <v>Feb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f>'Sch B Loan'!D10</f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f>'Sch B Loan'!D11</f>
        <v>0.06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20000</v>
      </c>
    </row>
    <row r="16" spans="1:52" s="3" customFormat="1" x14ac:dyDescent="0.25">
      <c r="A16" s="3" t="s">
        <v>207</v>
      </c>
      <c r="B16" s="3">
        <v>0</v>
      </c>
      <c r="C16" s="3">
        <v>0</v>
      </c>
      <c r="D16" s="3">
        <v>0</v>
      </c>
      <c r="E16" s="10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20000</v>
      </c>
      <c r="AX16" s="3">
        <v>0</v>
      </c>
      <c r="AY16" s="3">
        <v>0</v>
      </c>
      <c r="AZ16" s="3">
        <v>0</v>
      </c>
    </row>
    <row r="17" spans="1:60" s="3" customFormat="1" x14ac:dyDescent="0.25">
      <c r="BH17" s="3">
        <v>275000</v>
      </c>
    </row>
    <row r="18" spans="1:60" s="4" customFormat="1" x14ac:dyDescent="0.25">
      <c r="A18" s="4" t="s">
        <v>208</v>
      </c>
      <c r="B18" s="4">
        <f ca="1">B7+B10-B11-B15+B16-B12+B13+B14</f>
        <v>61327.29583333333</v>
      </c>
      <c r="C18" s="87">
        <f ca="1">B18+C10-C11-C15+C16-C12+C13+C14</f>
        <v>44555.009147436016</v>
      </c>
      <c r="D18" s="87">
        <f t="shared" ref="D18:AZ18" ca="1" si="14">C18+D10-D11-D15+D16-D12+D13+D14</f>
        <v>34083.571739201216</v>
      </c>
      <c r="E18" s="87">
        <f ca="1">D18+E10-E11-E15+E16-E12+E13+E14+E25</f>
        <v>107945.81862259755</v>
      </c>
      <c r="F18" s="87">
        <f t="shared" ca="1" si="14"/>
        <v>101090.01488493157</v>
      </c>
      <c r="G18" s="87">
        <f t="shared" ca="1" si="14"/>
        <v>87055.377712272646</v>
      </c>
      <c r="H18" s="87">
        <f t="shared" ca="1" si="14"/>
        <v>73076.308058887342</v>
      </c>
      <c r="I18" s="87">
        <f t="shared" ca="1" si="14"/>
        <v>60491.089373074501</v>
      </c>
      <c r="J18" s="87">
        <f t="shared" ca="1" si="14"/>
        <v>45929.80987965058</v>
      </c>
      <c r="K18" s="87">
        <f t="shared" ca="1" si="14"/>
        <v>32642.843465740898</v>
      </c>
      <c r="L18" s="87">
        <f t="shared" ca="1" si="14"/>
        <v>20021.123918990132</v>
      </c>
      <c r="M18" s="87">
        <f t="shared" ca="1" si="14"/>
        <v>4810.6497523234648</v>
      </c>
      <c r="N18" s="87">
        <f t="shared" ca="1" si="14"/>
        <v>-5477.0950550027173</v>
      </c>
      <c r="O18" s="87">
        <f t="shared" ca="1" si="14"/>
        <v>-16715.954342313173</v>
      </c>
      <c r="P18" s="87" t="e">
        <f t="shared" ca="1" si="14"/>
        <v>#VALUE!</v>
      </c>
      <c r="Q18" s="87" t="e">
        <f t="shared" ca="1" si="14"/>
        <v>#VALUE!</v>
      </c>
      <c r="R18" s="87" t="e">
        <f t="shared" ca="1" si="14"/>
        <v>#VALUE!</v>
      </c>
      <c r="S18" s="87" t="e">
        <f t="shared" ca="1" si="14"/>
        <v>#VALUE!</v>
      </c>
      <c r="T18" s="87" t="e">
        <f t="shared" ca="1" si="14"/>
        <v>#VALUE!</v>
      </c>
      <c r="U18" s="87" t="e">
        <f t="shared" ca="1" si="14"/>
        <v>#VALUE!</v>
      </c>
      <c r="V18" s="87" t="e">
        <f t="shared" ca="1" si="14"/>
        <v>#VALUE!</v>
      </c>
      <c r="W18" s="87" t="e">
        <f t="shared" ca="1" si="14"/>
        <v>#VALUE!</v>
      </c>
      <c r="X18" s="87" t="e">
        <f t="shared" ca="1" si="14"/>
        <v>#VALUE!</v>
      </c>
      <c r="Y18" s="87" t="e">
        <f t="shared" ca="1" si="14"/>
        <v>#VALUE!</v>
      </c>
      <c r="Z18" s="87" t="e">
        <f t="shared" ca="1" si="14"/>
        <v>#VALUE!</v>
      </c>
      <c r="AA18" s="87" t="e">
        <f t="shared" ca="1" si="14"/>
        <v>#VALUE!</v>
      </c>
      <c r="AB18" s="87" t="e">
        <f t="shared" ca="1" si="14"/>
        <v>#VALUE!</v>
      </c>
      <c r="AC18" s="87" t="e">
        <f t="shared" ca="1" si="14"/>
        <v>#VALUE!</v>
      </c>
      <c r="AD18" s="87" t="e">
        <f t="shared" ca="1" si="14"/>
        <v>#VALUE!</v>
      </c>
      <c r="AE18" s="87" t="e">
        <f t="shared" ca="1" si="14"/>
        <v>#VALUE!</v>
      </c>
      <c r="AF18" s="87" t="e">
        <f t="shared" ca="1" si="14"/>
        <v>#VALUE!</v>
      </c>
      <c r="AG18" s="87" t="e">
        <f t="shared" ca="1" si="14"/>
        <v>#VALUE!</v>
      </c>
      <c r="AH18" s="87" t="e">
        <f t="shared" ca="1" si="14"/>
        <v>#VALUE!</v>
      </c>
      <c r="AI18" s="87" t="e">
        <f t="shared" ca="1" si="14"/>
        <v>#VALUE!</v>
      </c>
      <c r="AJ18" s="87" t="e">
        <f t="shared" ca="1" si="14"/>
        <v>#VALUE!</v>
      </c>
      <c r="AK18" s="87" t="e">
        <f t="shared" ca="1" si="14"/>
        <v>#VALUE!</v>
      </c>
      <c r="AL18" s="87" t="e">
        <f t="shared" ca="1" si="14"/>
        <v>#VALUE!</v>
      </c>
      <c r="AM18" s="87" t="e">
        <f t="shared" ca="1" si="14"/>
        <v>#VALUE!</v>
      </c>
      <c r="AN18" s="87" t="e">
        <f t="shared" ca="1" si="14"/>
        <v>#VALUE!</v>
      </c>
      <c r="AO18" s="87" t="e">
        <f t="shared" ca="1" si="14"/>
        <v>#VALUE!</v>
      </c>
      <c r="AP18" s="87" t="e">
        <f t="shared" ca="1" si="14"/>
        <v>#VALUE!</v>
      </c>
      <c r="AQ18" s="87" t="e">
        <f t="shared" ca="1" si="14"/>
        <v>#VALUE!</v>
      </c>
      <c r="AR18" s="87" t="e">
        <f t="shared" ca="1" si="14"/>
        <v>#VALUE!</v>
      </c>
      <c r="AS18" s="87" t="e">
        <f t="shared" ca="1" si="14"/>
        <v>#VALUE!</v>
      </c>
      <c r="AT18" s="87" t="e">
        <f t="shared" ca="1" si="14"/>
        <v>#VALUE!</v>
      </c>
      <c r="AU18" s="87" t="e">
        <f t="shared" ca="1" si="14"/>
        <v>#VALUE!</v>
      </c>
      <c r="AV18" s="87" t="e">
        <f t="shared" ca="1" si="14"/>
        <v>#VALUE!</v>
      </c>
      <c r="AW18" s="87" t="e">
        <f t="shared" ca="1" si="14"/>
        <v>#VALUE!</v>
      </c>
      <c r="AX18" s="87" t="e">
        <f t="shared" ca="1" si="14"/>
        <v>#VALUE!</v>
      </c>
      <c r="AY18" s="87" t="e">
        <f t="shared" ca="1" si="14"/>
        <v>#VALUE!</v>
      </c>
      <c r="AZ18" s="87" t="e">
        <f t="shared" ca="1" si="14"/>
        <v>#VALUE!</v>
      </c>
      <c r="BH18" s="88">
        <f>BH17*0.000104</f>
        <v>28.599999999999998</v>
      </c>
    </row>
    <row r="19" spans="1:60" s="3" customFormat="1" x14ac:dyDescent="0.25"/>
    <row r="21" spans="1:60" x14ac:dyDescent="0.25">
      <c r="A21" t="s">
        <v>209</v>
      </c>
      <c r="E21" s="3">
        <v>73241.919999999998</v>
      </c>
      <c r="BH21" s="35" t="e">
        <f>BH18-#REF!</f>
        <v>#REF!</v>
      </c>
    </row>
    <row r="22" spans="1:60" x14ac:dyDescent="0.25">
      <c r="A22" t="s">
        <v>210</v>
      </c>
      <c r="E22" s="3">
        <v>1072101.4099999999</v>
      </c>
    </row>
    <row r="23" spans="1:60" x14ac:dyDescent="0.25">
      <c r="A23" t="s">
        <v>211</v>
      </c>
      <c r="E23" s="3">
        <v>1100000</v>
      </c>
      <c r="G23" s="3"/>
    </row>
    <row r="24" spans="1:60" x14ac:dyDescent="0.25">
      <c r="A24" t="s">
        <v>212</v>
      </c>
      <c r="E24" s="3">
        <f ca="1">'Income Statement'!S30+'Income Statement'!T30+'Income Statement'!U30+'Income Statement'!S60+'Income Statement'!T60+'Income Statement'!U60-74000</f>
        <v>-3348.5871082642261</v>
      </c>
      <c r="P24" s="39" t="s">
        <v>213</v>
      </c>
      <c r="Q24" s="7">
        <f ca="1">AVERAGE(E11:P11)*2</f>
        <v>41147.333333333321</v>
      </c>
    </row>
    <row r="25" spans="1:60" x14ac:dyDescent="0.25">
      <c r="A25" t="s">
        <v>3</v>
      </c>
      <c r="E25" s="7">
        <f>E21+E22-E23</f>
        <v>45343.329999999842</v>
      </c>
    </row>
    <row r="30" spans="1:60" x14ac:dyDescent="0.25">
      <c r="A30" t="s">
        <v>214</v>
      </c>
      <c r="E30" s="3">
        <v>1100000</v>
      </c>
      <c r="F30" s="3">
        <f>E30-100000</f>
        <v>1000000</v>
      </c>
      <c r="G30" s="3">
        <f t="shared" ref="G30:P30" si="15">F30-100000</f>
        <v>900000</v>
      </c>
      <c r="H30" s="3">
        <f t="shared" si="15"/>
        <v>800000</v>
      </c>
      <c r="I30" s="3">
        <f t="shared" si="15"/>
        <v>700000</v>
      </c>
      <c r="J30" s="3">
        <f t="shared" si="15"/>
        <v>600000</v>
      </c>
      <c r="K30" s="3">
        <f t="shared" si="15"/>
        <v>500000</v>
      </c>
      <c r="L30" s="3">
        <f t="shared" si="15"/>
        <v>400000</v>
      </c>
      <c r="M30" s="3">
        <f t="shared" si="15"/>
        <v>300000</v>
      </c>
      <c r="N30" s="3">
        <f t="shared" si="15"/>
        <v>200000</v>
      </c>
      <c r="O30" s="3">
        <f t="shared" si="15"/>
        <v>100000</v>
      </c>
      <c r="P30" s="3">
        <f t="shared" si="15"/>
        <v>0</v>
      </c>
    </row>
    <row r="31" spans="1:60" x14ac:dyDescent="0.25">
      <c r="E31" s="203">
        <v>2.1827498800000001E-2</v>
      </c>
      <c r="F31" s="203">
        <v>2.1827498800000001E-2</v>
      </c>
      <c r="G31" s="203">
        <v>2.1827498800000001E-2</v>
      </c>
      <c r="H31" s="203">
        <v>2.1827498800000001E-2</v>
      </c>
      <c r="I31" s="203">
        <v>2.1827498800000001E-2</v>
      </c>
      <c r="J31" s="203">
        <v>2.1827498800000001E-2</v>
      </c>
      <c r="K31" s="203">
        <v>2.1827498800000001E-2</v>
      </c>
      <c r="L31" s="203">
        <v>2.1827498800000001E-2</v>
      </c>
      <c r="M31" s="203">
        <v>2.1827498800000001E-2</v>
      </c>
      <c r="N31" s="203">
        <v>2.1827498800000001E-2</v>
      </c>
      <c r="O31" s="203">
        <v>2.1827498800000001E-2</v>
      </c>
      <c r="P31" s="203">
        <v>2.1827498800000001E-2</v>
      </c>
    </row>
    <row r="32" spans="1:60" x14ac:dyDescent="0.25">
      <c r="E32" s="35">
        <f>E31/3650*E30*30</f>
        <v>197.34450969863013</v>
      </c>
      <c r="F32" s="35">
        <f t="shared" ref="F32:P32" si="16">F31/3650*F30*30</f>
        <v>179.4040997260274</v>
      </c>
      <c r="G32" s="35">
        <f t="shared" si="16"/>
        <v>161.46368975342466</v>
      </c>
      <c r="H32" s="35">
        <f t="shared" si="16"/>
        <v>143.52327978082192</v>
      </c>
      <c r="I32" s="35">
        <f t="shared" si="16"/>
        <v>125.58286980821917</v>
      </c>
      <c r="J32" s="35">
        <f t="shared" si="16"/>
        <v>107.64245983561644</v>
      </c>
      <c r="K32" s="35">
        <f t="shared" si="16"/>
        <v>89.702049863013698</v>
      </c>
      <c r="L32" s="35">
        <f t="shared" si="16"/>
        <v>71.761639890410962</v>
      </c>
      <c r="M32" s="35">
        <f t="shared" si="16"/>
        <v>53.821229917808218</v>
      </c>
      <c r="N32" s="35">
        <f t="shared" si="16"/>
        <v>35.880819945205481</v>
      </c>
      <c r="O32" s="35">
        <f t="shared" si="16"/>
        <v>17.94040997260274</v>
      </c>
      <c r="P32" s="35">
        <f t="shared" si="16"/>
        <v>0</v>
      </c>
    </row>
  </sheetData>
  <conditionalFormatting sqref="C18:AZ18">
    <cfRule type="cellIs" dxfId="26" priority="1" operator="greaterThan">
      <formula>$Q$24</formula>
    </cfRule>
  </conditionalFormatting>
  <pageMargins left="0.25" right="0.25" top="0.75" bottom="0.75" header="0.3" footer="0.3"/>
  <pageSetup scale="82" fitToHeight="0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70318-FDD0-492F-810F-C1181A3ABEF1}">
  <sheetPr>
    <tabColor rgb="FF0070C0"/>
    <pageSetUpPr fitToPage="1"/>
  </sheetPr>
  <dimension ref="A1:N20"/>
  <sheetViews>
    <sheetView zoomScale="145" zoomScaleNormal="145" workbookViewId="0">
      <selection activeCell="G7" sqref="G7"/>
    </sheetView>
  </sheetViews>
  <sheetFormatPr defaultColWidth="8.85546875" defaultRowHeight="15" outlineLevelRow="1" x14ac:dyDescent="0.25"/>
  <cols>
    <col min="1" max="1" width="2.42578125" style="5" customWidth="1"/>
    <col min="2" max="2" width="28.140625" customWidth="1"/>
    <col min="3" max="3" width="10.140625" bestFit="1" customWidth="1"/>
    <col min="4" max="4" width="10.140625" customWidth="1"/>
    <col min="5" max="5" width="13.42578125" customWidth="1"/>
    <col min="7" max="7" width="13.28515625" style="3" bestFit="1" customWidth="1"/>
    <col min="8" max="8" width="9.42578125" bestFit="1" customWidth="1"/>
    <col min="9" max="9" width="10.42578125" bestFit="1" customWidth="1"/>
    <col min="11" max="12" width="16.140625" customWidth="1"/>
  </cols>
  <sheetData>
    <row r="1" spans="1:14" ht="18.75" x14ac:dyDescent="0.3">
      <c r="A1" s="20" t="s">
        <v>215</v>
      </c>
    </row>
    <row r="3" spans="1:14" x14ac:dyDescent="0.25">
      <c r="A3" s="1"/>
      <c r="B3" s="1"/>
      <c r="C3" s="1" t="s">
        <v>216</v>
      </c>
      <c r="D3" s="1" t="s">
        <v>217</v>
      </c>
      <c r="E3" s="257" t="s">
        <v>187</v>
      </c>
      <c r="F3" s="257"/>
      <c r="G3" s="17" t="s">
        <v>218</v>
      </c>
    </row>
    <row r="4" spans="1:14" x14ac:dyDescent="0.25">
      <c r="A4" s="1"/>
      <c r="B4" s="1" t="s">
        <v>219</v>
      </c>
      <c r="C4" s="1" t="s">
        <v>192</v>
      </c>
      <c r="D4" s="1" t="s">
        <v>220</v>
      </c>
      <c r="E4" s="1" t="s">
        <v>192</v>
      </c>
      <c r="F4" s="1" t="s">
        <v>221</v>
      </c>
      <c r="G4" s="17" t="s">
        <v>43</v>
      </c>
    </row>
    <row r="6" spans="1:14" outlineLevel="1" x14ac:dyDescent="0.25">
      <c r="B6" t="s">
        <v>363</v>
      </c>
      <c r="C6" s="14"/>
      <c r="D6" s="178"/>
      <c r="E6" s="14"/>
      <c r="G6" s="3">
        <v>70000</v>
      </c>
    </row>
    <row r="7" spans="1:14" outlineLevel="1" x14ac:dyDescent="0.25">
      <c r="B7" t="s">
        <v>364</v>
      </c>
      <c r="C7" s="14"/>
      <c r="D7" s="178"/>
      <c r="E7" s="14"/>
      <c r="G7" s="3">
        <v>21000</v>
      </c>
    </row>
    <row r="8" spans="1:14" outlineLevel="1" x14ac:dyDescent="0.25">
      <c r="B8" t="s">
        <v>365</v>
      </c>
      <c r="C8" s="14"/>
      <c r="D8" s="178"/>
      <c r="E8" s="14"/>
      <c r="G8" s="3">
        <v>10800</v>
      </c>
    </row>
    <row r="9" spans="1:14" outlineLevel="1" x14ac:dyDescent="0.25">
      <c r="B9" t="s">
        <v>366</v>
      </c>
      <c r="C9" s="14"/>
      <c r="D9" s="178"/>
      <c r="E9" s="14"/>
      <c r="G9" s="3">
        <v>1300</v>
      </c>
    </row>
    <row r="10" spans="1:14" outlineLevel="1" x14ac:dyDescent="0.25">
      <c r="B10" t="s">
        <v>367</v>
      </c>
      <c r="C10" s="14"/>
      <c r="D10" s="178"/>
      <c r="E10" s="14"/>
      <c r="G10" s="3">
        <v>120</v>
      </c>
    </row>
    <row r="11" spans="1:14" outlineLevel="1" x14ac:dyDescent="0.25">
      <c r="B11" t="s">
        <v>368</v>
      </c>
      <c r="C11" s="14"/>
      <c r="D11" s="178"/>
      <c r="E11" s="14"/>
      <c r="G11" s="3">
        <v>800</v>
      </c>
    </row>
    <row r="12" spans="1:14" x14ac:dyDescent="0.25">
      <c r="B12" t="s">
        <v>398</v>
      </c>
      <c r="G12" s="3">
        <v>5460</v>
      </c>
      <c r="K12" t="s">
        <v>406</v>
      </c>
      <c r="L12" t="s">
        <v>407</v>
      </c>
      <c r="M12" t="s">
        <v>408</v>
      </c>
    </row>
    <row r="13" spans="1:14" x14ac:dyDescent="0.25">
      <c r="B13" t="s">
        <v>370</v>
      </c>
      <c r="G13" s="3">
        <v>20000</v>
      </c>
      <c r="K13">
        <v>20</v>
      </c>
      <c r="L13">
        <v>50</v>
      </c>
      <c r="M13">
        <v>20</v>
      </c>
      <c r="N13">
        <f>+K13*L13*M13</f>
        <v>20000</v>
      </c>
    </row>
    <row r="14" spans="1:14" x14ac:dyDescent="0.25">
      <c r="B14" t="s">
        <v>369</v>
      </c>
      <c r="G14" s="3">
        <v>18599</v>
      </c>
    </row>
    <row r="15" spans="1:14" x14ac:dyDescent="0.25">
      <c r="I15" t="s">
        <v>371</v>
      </c>
    </row>
    <row r="16" spans="1:14" x14ac:dyDescent="0.25">
      <c r="G16" s="4">
        <f>SUM(G6:G14)</f>
        <v>148079</v>
      </c>
      <c r="I16" s="8">
        <f>+G16-'[1]Sch D Employee Compensation'!$G$9</f>
        <v>102558.98</v>
      </c>
    </row>
    <row r="18" spans="5:8" x14ac:dyDescent="0.25">
      <c r="E18" t="s">
        <v>397</v>
      </c>
      <c r="G18" s="3">
        <f>+(G6+G12+G13)*0.0765</f>
        <v>7302.69</v>
      </c>
    </row>
    <row r="20" spans="5:8" x14ac:dyDescent="0.25">
      <c r="E20" t="s">
        <v>45</v>
      </c>
      <c r="G20" s="3">
        <v>420</v>
      </c>
      <c r="H20" s="7"/>
    </row>
  </sheetData>
  <mergeCells count="1">
    <mergeCell ref="E3:F3"/>
  </mergeCells>
  <pageMargins left="1.45" right="0.7" top="0.75" bottom="0.75" header="0.3" footer="0.3"/>
  <pageSetup scale="98" fitToHeight="0" orientation="portrait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016AE-AF6E-4EE7-BD60-E0D23920B247}">
  <sheetPr>
    <tabColor rgb="FF0070C0"/>
  </sheetPr>
  <dimension ref="A1:G61"/>
  <sheetViews>
    <sheetView zoomScale="130" zoomScaleNormal="130" workbookViewId="0">
      <pane ySplit="4" topLeftCell="A5" activePane="bottomLeft" state="frozen"/>
      <selection pane="bottomLeft" activeCell="A2" sqref="A2"/>
    </sheetView>
  </sheetViews>
  <sheetFormatPr defaultColWidth="8.85546875" defaultRowHeight="15" x14ac:dyDescent="0.25"/>
  <cols>
    <col min="1" max="1" width="6.140625" style="5" customWidth="1"/>
    <col min="2" max="2" width="24" bestFit="1" customWidth="1"/>
    <col min="3" max="4" width="9.28515625" bestFit="1" customWidth="1"/>
    <col min="5" max="5" width="9.28515625" customWidth="1"/>
    <col min="7" max="7" width="9.28515625" bestFit="1" customWidth="1"/>
  </cols>
  <sheetData>
    <row r="1" spans="1:7" ht="18.75" x14ac:dyDescent="0.3">
      <c r="A1" s="20" t="s">
        <v>234</v>
      </c>
    </row>
    <row r="3" spans="1:7" x14ac:dyDescent="0.25">
      <c r="A3" s="1"/>
      <c r="B3" s="1"/>
      <c r="C3" s="1">
        <v>2022</v>
      </c>
      <c r="D3" s="1">
        <v>2023</v>
      </c>
      <c r="E3" s="1">
        <v>2024</v>
      </c>
      <c r="F3" s="257" t="s">
        <v>235</v>
      </c>
      <c r="G3" s="257"/>
    </row>
    <row r="4" spans="1:7" x14ac:dyDescent="0.25">
      <c r="A4" s="1"/>
      <c r="B4" s="1"/>
      <c r="C4" s="1" t="s">
        <v>192</v>
      </c>
      <c r="D4" s="1" t="s">
        <v>192</v>
      </c>
      <c r="E4" s="1" t="s">
        <v>192</v>
      </c>
      <c r="F4" s="1" t="s">
        <v>236</v>
      </c>
      <c r="G4" s="1" t="s">
        <v>220</v>
      </c>
    </row>
    <row r="5" spans="1:7" ht="6.6" customHeight="1" x14ac:dyDescent="0.25"/>
    <row r="6" spans="1:7" x14ac:dyDescent="0.25">
      <c r="A6" s="198" t="str">
        <f>+'Mar Youth Volleyball'!A1</f>
        <v>Youth Volleyball</v>
      </c>
      <c r="B6" s="199"/>
      <c r="C6" s="199"/>
      <c r="D6" s="199"/>
      <c r="E6" s="199"/>
      <c r="F6" s="199"/>
      <c r="G6" s="199"/>
    </row>
    <row r="7" spans="1:7" x14ac:dyDescent="0.25">
      <c r="B7" s="197" t="str">
        <f>+'Mar Youth Volleyball'!A16</f>
        <v>Thirds and Fourth</v>
      </c>
      <c r="C7" s="3">
        <v>40</v>
      </c>
      <c r="D7" s="3">
        <v>45</v>
      </c>
      <c r="E7" s="3">
        <f>+'Mar Youth Volleyball'!C16</f>
        <v>45</v>
      </c>
      <c r="F7" s="7">
        <f>E7-D7</f>
        <v>0</v>
      </c>
      <c r="G7" s="36">
        <f>F7/D7</f>
        <v>0</v>
      </c>
    </row>
    <row r="8" spans="1:7" x14ac:dyDescent="0.25">
      <c r="B8" s="197" t="str">
        <f>+'Mar Youth Volleyball'!A17</f>
        <v>Fifth thru Eighth</v>
      </c>
      <c r="C8" s="3">
        <v>40</v>
      </c>
      <c r="D8" s="3">
        <v>45</v>
      </c>
      <c r="E8" s="3">
        <f>+'Mar Youth Volleyball'!C17</f>
        <v>45</v>
      </c>
      <c r="F8" s="7">
        <f>E8-D8</f>
        <v>0</v>
      </c>
      <c r="G8" s="36">
        <f>F8/D8</f>
        <v>0</v>
      </c>
    </row>
    <row r="9" spans="1:7" x14ac:dyDescent="0.25">
      <c r="C9" s="3"/>
      <c r="D9" s="7"/>
      <c r="E9" s="7"/>
      <c r="F9" s="7"/>
      <c r="G9" s="36"/>
    </row>
    <row r="10" spans="1:7" x14ac:dyDescent="0.25">
      <c r="A10" s="198" t="str">
        <f>+'Apr-May Flag Football'!A1</f>
        <v>Flag Football</v>
      </c>
      <c r="B10" s="199"/>
      <c r="C10" s="201"/>
      <c r="D10" s="202"/>
      <c r="E10" s="202"/>
      <c r="F10" s="202"/>
      <c r="G10" s="200"/>
    </row>
    <row r="11" spans="1:7" x14ac:dyDescent="0.25">
      <c r="B11" s="197" t="str">
        <f>+'Apr-May Flag Football'!A15</f>
        <v>1-2 grade</v>
      </c>
      <c r="C11" s="3">
        <v>40</v>
      </c>
      <c r="D11" s="3">
        <v>40</v>
      </c>
      <c r="E11" s="3">
        <f>+'Apr-May Flag Football'!C15</f>
        <v>40</v>
      </c>
      <c r="F11" s="7">
        <f t="shared" ref="F11:F14" si="0">E11-D11</f>
        <v>0</v>
      </c>
      <c r="G11" s="36">
        <f t="shared" ref="G11:G14" si="1">F11/D11</f>
        <v>0</v>
      </c>
    </row>
    <row r="12" spans="1:7" x14ac:dyDescent="0.25">
      <c r="B12" s="197" t="str">
        <f>+'Apr-May Flag Football'!A16</f>
        <v>3-4 grade</v>
      </c>
      <c r="C12" s="3">
        <v>50</v>
      </c>
      <c r="D12" s="3">
        <v>50</v>
      </c>
      <c r="E12" s="3">
        <f>+'Apr-May Flag Football'!C16</f>
        <v>50</v>
      </c>
      <c r="F12" s="7">
        <f t="shared" si="0"/>
        <v>0</v>
      </c>
      <c r="G12" s="36">
        <f t="shared" si="1"/>
        <v>0</v>
      </c>
    </row>
    <row r="13" spans="1:7" x14ac:dyDescent="0.25">
      <c r="B13" s="197" t="str">
        <f>+'Apr-May Flag Football'!A17</f>
        <v>5-6 grade</v>
      </c>
      <c r="C13" s="3">
        <v>50</v>
      </c>
      <c r="D13" s="3">
        <v>50</v>
      </c>
      <c r="E13" s="3">
        <f>+'Apr-May Flag Football'!C17</f>
        <v>50</v>
      </c>
      <c r="F13" s="7">
        <f t="shared" si="0"/>
        <v>0</v>
      </c>
      <c r="G13" s="36">
        <f t="shared" si="1"/>
        <v>0</v>
      </c>
    </row>
    <row r="14" spans="1:7" x14ac:dyDescent="0.25">
      <c r="B14" s="197" t="str">
        <f>+'Apr-May Flag Football'!A18</f>
        <v>7-8 grade</v>
      </c>
      <c r="C14" s="3">
        <v>50</v>
      </c>
      <c r="D14" s="3">
        <v>50</v>
      </c>
      <c r="E14" s="3">
        <f>+'Apr-May Flag Football'!C18</f>
        <v>50</v>
      </c>
      <c r="F14" s="7">
        <f t="shared" si="0"/>
        <v>0</v>
      </c>
      <c r="G14" s="36">
        <f t="shared" si="1"/>
        <v>0</v>
      </c>
    </row>
    <row r="15" spans="1:7" x14ac:dyDescent="0.25">
      <c r="C15" s="3"/>
      <c r="D15" s="7"/>
      <c r="E15" s="7"/>
      <c r="F15" s="7"/>
      <c r="G15" s="36"/>
    </row>
    <row r="16" spans="1:7" x14ac:dyDescent="0.25">
      <c r="A16" s="198" t="str">
        <f>+'May-Jun Baseball &amp; Softball'!A1</f>
        <v>Baseball &amp; Softball</v>
      </c>
      <c r="B16" s="199"/>
      <c r="C16" s="201"/>
      <c r="D16" s="202"/>
      <c r="E16" s="202"/>
      <c r="F16" s="202"/>
      <c r="G16" s="200"/>
    </row>
    <row r="17" spans="1:7" x14ac:dyDescent="0.25">
      <c r="B17" s="197" t="str">
        <f>+'May-Jun Baseball &amp; Softball'!A15</f>
        <v>Baseball PK and 1/2</v>
      </c>
      <c r="C17" s="3">
        <v>61</v>
      </c>
      <c r="D17" s="3">
        <v>45</v>
      </c>
      <c r="E17" s="3">
        <f>+'May-Jun Baseball &amp; Softball'!C15</f>
        <v>45</v>
      </c>
      <c r="F17" s="7">
        <f t="shared" ref="F17:F20" si="2">E17-D17</f>
        <v>0</v>
      </c>
      <c r="G17" s="36">
        <f t="shared" ref="G17:G20" si="3">F17/D17</f>
        <v>0</v>
      </c>
    </row>
    <row r="18" spans="1:7" x14ac:dyDescent="0.25">
      <c r="B18" s="197" t="str">
        <f>+'May-Jun Baseball &amp; Softball'!A16</f>
        <v>Baseball 3/4, 5/6 &amp; 7/9</v>
      </c>
      <c r="C18" s="3">
        <v>61</v>
      </c>
      <c r="D18" s="3">
        <v>65</v>
      </c>
      <c r="E18" s="3">
        <f>+'May-Jun Baseball &amp; Softball'!C16</f>
        <v>65</v>
      </c>
      <c r="F18" s="7">
        <f t="shared" si="2"/>
        <v>0</v>
      </c>
      <c r="G18" s="36">
        <f t="shared" si="3"/>
        <v>0</v>
      </c>
    </row>
    <row r="19" spans="1:7" x14ac:dyDescent="0.25">
      <c r="B19" s="197" t="str">
        <f>+'May-Jun Baseball &amp; Softball'!A17</f>
        <v>Softball 3/4</v>
      </c>
      <c r="C19" s="3">
        <v>61</v>
      </c>
      <c r="D19" s="3">
        <v>65</v>
      </c>
      <c r="E19" s="3">
        <f>+'May-Jun Baseball &amp; Softball'!C17</f>
        <v>65</v>
      </c>
      <c r="F19" s="7">
        <f t="shared" si="2"/>
        <v>0</v>
      </c>
      <c r="G19" s="36">
        <f t="shared" si="3"/>
        <v>0</v>
      </c>
    </row>
    <row r="20" spans="1:7" x14ac:dyDescent="0.25">
      <c r="B20" s="197" t="str">
        <f>+'May-Jun Baseball &amp; Softball'!A18</f>
        <v>Softball 6/8</v>
      </c>
      <c r="C20" s="3">
        <v>61</v>
      </c>
      <c r="D20" s="3">
        <v>65</v>
      </c>
      <c r="E20" s="3">
        <f>+'May-Jun Baseball &amp; Softball'!C18</f>
        <v>65</v>
      </c>
      <c r="F20" s="7">
        <f t="shared" si="2"/>
        <v>0</v>
      </c>
      <c r="G20" s="36">
        <f t="shared" si="3"/>
        <v>0</v>
      </c>
    </row>
    <row r="21" spans="1:7" x14ac:dyDescent="0.25">
      <c r="C21" s="3"/>
      <c r="D21" s="3"/>
      <c r="E21" s="3"/>
      <c r="F21" s="7"/>
      <c r="G21" s="36"/>
    </row>
    <row r="22" spans="1:7" x14ac:dyDescent="0.25">
      <c r="A22" s="198" t="str">
        <f>+'Group Training-April'!A1</f>
        <v>Group Training</v>
      </c>
      <c r="B22" s="199"/>
      <c r="C22" s="201"/>
      <c r="D22" s="202"/>
      <c r="E22" s="202"/>
      <c r="F22" s="202"/>
      <c r="G22" s="200"/>
    </row>
    <row r="23" spans="1:7" x14ac:dyDescent="0.25">
      <c r="B23" s="197" t="str">
        <f>+'Group Training-April'!A15</f>
        <v>Group 1-Spring</v>
      </c>
      <c r="C23" s="3"/>
      <c r="D23" s="3">
        <v>75.88</v>
      </c>
      <c r="E23" s="3">
        <f>+'Group Training-April'!C15</f>
        <v>75.88</v>
      </c>
      <c r="F23" s="7">
        <f t="shared" ref="F23:F25" si="4">E23-D23</f>
        <v>0</v>
      </c>
      <c r="G23" s="36">
        <f t="shared" ref="G23:G25" si="5">F23/D23</f>
        <v>0</v>
      </c>
    </row>
    <row r="24" spans="1:7" x14ac:dyDescent="0.25">
      <c r="B24" s="197" t="str">
        <f>+'Group Training-April'!A16</f>
        <v>Group 2-Summer Younger</v>
      </c>
      <c r="C24" s="3"/>
      <c r="D24" s="3">
        <v>65</v>
      </c>
      <c r="E24" s="3">
        <f>+'Group Training-April'!C16</f>
        <v>65</v>
      </c>
      <c r="F24" s="7">
        <f t="shared" si="4"/>
        <v>0</v>
      </c>
      <c r="G24" s="36">
        <f t="shared" si="5"/>
        <v>0</v>
      </c>
    </row>
    <row r="25" spans="1:7" x14ac:dyDescent="0.25">
      <c r="B25" s="197" t="str">
        <f>+'Group Training-April'!A17</f>
        <v>Group 2-Summer Older</v>
      </c>
      <c r="C25" s="3"/>
      <c r="D25" s="3">
        <v>80</v>
      </c>
      <c r="E25" s="3">
        <f>+'Group Training-April'!C17</f>
        <v>80</v>
      </c>
      <c r="F25" s="7">
        <f t="shared" si="4"/>
        <v>0</v>
      </c>
      <c r="G25" s="36">
        <f t="shared" si="5"/>
        <v>0</v>
      </c>
    </row>
    <row r="26" spans="1:7" x14ac:dyDescent="0.25">
      <c r="C26" s="3"/>
      <c r="D26" s="3"/>
      <c r="E26" s="3"/>
      <c r="F26" s="7"/>
      <c r="G26" s="36"/>
    </row>
    <row r="27" spans="1:7" x14ac:dyDescent="0.25">
      <c r="A27" s="198" t="str">
        <f>+'Equestrian May to Aug'!A1</f>
        <v>Equestrian</v>
      </c>
      <c r="B27" s="199"/>
      <c r="C27" s="201"/>
      <c r="D27" s="202"/>
      <c r="E27" s="202"/>
      <c r="F27" s="202"/>
      <c r="G27" s="200"/>
    </row>
    <row r="28" spans="1:7" x14ac:dyDescent="0.25">
      <c r="B28" t="str">
        <f>+'Equestrian May to Aug'!A15</f>
        <v>All</v>
      </c>
      <c r="C28" s="3"/>
      <c r="D28" s="3">
        <v>157.114</v>
      </c>
      <c r="E28" s="3">
        <f>+'Equestrian May to Aug'!C15</f>
        <v>157.114</v>
      </c>
      <c r="F28" s="7">
        <f>E28-D28</f>
        <v>0</v>
      </c>
      <c r="G28" s="36">
        <f>F28/D28</f>
        <v>0</v>
      </c>
    </row>
    <row r="29" spans="1:7" x14ac:dyDescent="0.25">
      <c r="C29" s="3"/>
      <c r="D29" s="3"/>
      <c r="E29" s="3"/>
      <c r="F29" s="7"/>
      <c r="G29" s="36"/>
    </row>
    <row r="30" spans="1:7" x14ac:dyDescent="0.25">
      <c r="C30" s="3"/>
      <c r="D30" s="3"/>
      <c r="E30" s="3"/>
      <c r="F30" s="7"/>
      <c r="G30" s="36"/>
    </row>
    <row r="31" spans="1:7" x14ac:dyDescent="0.25">
      <c r="C31" s="3"/>
      <c r="D31" s="3"/>
      <c r="E31" s="3"/>
      <c r="F31" s="7"/>
      <c r="G31" s="36"/>
    </row>
    <row r="32" spans="1:7" x14ac:dyDescent="0.25">
      <c r="A32" s="198" t="str">
        <f>+'Aug-Sep Soccer'!A1</f>
        <v>Soccer</v>
      </c>
      <c r="B32" s="199"/>
      <c r="C32" s="201"/>
      <c r="D32" s="201"/>
      <c r="E32" s="201"/>
      <c r="F32" s="202"/>
      <c r="G32" s="200"/>
    </row>
    <row r="33" spans="1:7" x14ac:dyDescent="0.25">
      <c r="B33" s="197" t="str">
        <f>+'Aug-Sep Soccer'!A15</f>
        <v>Pk-K</v>
      </c>
      <c r="C33" s="3">
        <v>35</v>
      </c>
      <c r="D33" s="3">
        <v>35</v>
      </c>
      <c r="E33" s="3">
        <f>+'Aug-Sep Soccer'!C15</f>
        <v>35</v>
      </c>
      <c r="F33" s="7">
        <f t="shared" ref="F33:F36" si="6">E33-D33</f>
        <v>0</v>
      </c>
      <c r="G33" s="36">
        <f t="shared" ref="G33:G36" si="7">F33/D33</f>
        <v>0</v>
      </c>
    </row>
    <row r="34" spans="1:7" x14ac:dyDescent="0.25">
      <c r="B34" s="197" t="str">
        <f>+'Aug-Sep Soccer'!A16</f>
        <v>1-2 Grade</v>
      </c>
      <c r="C34" s="3">
        <v>35</v>
      </c>
      <c r="D34" s="3">
        <v>35</v>
      </c>
      <c r="E34" s="3">
        <f>+'Aug-Sep Soccer'!C16</f>
        <v>35</v>
      </c>
      <c r="F34" s="7">
        <f t="shared" si="6"/>
        <v>0</v>
      </c>
      <c r="G34" s="36">
        <f t="shared" si="7"/>
        <v>0</v>
      </c>
    </row>
    <row r="35" spans="1:7" x14ac:dyDescent="0.25">
      <c r="B35" s="197" t="str">
        <f>+'Aug-Sep Soccer'!A17</f>
        <v>3-4 Grade</v>
      </c>
      <c r="C35" s="3">
        <v>35</v>
      </c>
      <c r="D35" s="3">
        <v>35</v>
      </c>
      <c r="E35" s="3">
        <f>+'Aug-Sep Soccer'!C17</f>
        <v>35</v>
      </c>
      <c r="F35" s="7">
        <f t="shared" si="6"/>
        <v>0</v>
      </c>
      <c r="G35" s="36">
        <f t="shared" si="7"/>
        <v>0</v>
      </c>
    </row>
    <row r="36" spans="1:7" x14ac:dyDescent="0.25">
      <c r="B36" s="197" t="str">
        <f>+'Aug-Sep Soccer'!A18</f>
        <v>5-6 Grade</v>
      </c>
      <c r="C36" s="3">
        <v>40</v>
      </c>
      <c r="D36" s="3">
        <v>40</v>
      </c>
      <c r="E36" s="3">
        <f>+'Aug-Sep Soccer'!C18</f>
        <v>40</v>
      </c>
      <c r="F36" s="7">
        <f t="shared" si="6"/>
        <v>0</v>
      </c>
      <c r="G36" s="36">
        <f t="shared" si="7"/>
        <v>0</v>
      </c>
    </row>
    <row r="37" spans="1:7" x14ac:dyDescent="0.25">
      <c r="C37" s="3"/>
      <c r="D37" s="3"/>
      <c r="E37" s="3"/>
      <c r="F37" s="7"/>
      <c r="G37" s="36"/>
    </row>
    <row r="38" spans="1:7" x14ac:dyDescent="0.25">
      <c r="A38" s="198" t="str">
        <f>+'Dec-Feb Basketball'!A1</f>
        <v>Basketball</v>
      </c>
      <c r="B38" s="199"/>
      <c r="C38" s="201"/>
      <c r="D38" s="201"/>
      <c r="E38" s="201"/>
      <c r="F38" s="202"/>
      <c r="G38" s="200"/>
    </row>
    <row r="39" spans="1:7" x14ac:dyDescent="0.25">
      <c r="B39" s="197" t="str">
        <f>+'Dec-Feb Basketball'!A15</f>
        <v>PK-K</v>
      </c>
      <c r="C39" s="3">
        <v>46</v>
      </c>
      <c r="D39" s="3">
        <v>45</v>
      </c>
      <c r="E39" s="3">
        <f>+'Dec-Feb Basketball'!C15</f>
        <v>45</v>
      </c>
      <c r="F39" s="7">
        <f t="shared" ref="F39:F43" si="8">E39-D39</f>
        <v>0</v>
      </c>
      <c r="G39" s="36">
        <f t="shared" ref="G39:G43" si="9">F39/D39</f>
        <v>0</v>
      </c>
    </row>
    <row r="40" spans="1:7" x14ac:dyDescent="0.25">
      <c r="B40" s="197" t="str">
        <f>+'Dec-Feb Basketball'!A16</f>
        <v>1/2 Coed</v>
      </c>
      <c r="C40" s="3">
        <v>46</v>
      </c>
      <c r="D40" s="3">
        <v>45</v>
      </c>
      <c r="E40" s="3">
        <f>+'Dec-Feb Basketball'!C16</f>
        <v>45</v>
      </c>
      <c r="F40" s="7">
        <f t="shared" si="8"/>
        <v>0</v>
      </c>
      <c r="G40" s="36">
        <f t="shared" si="9"/>
        <v>0</v>
      </c>
    </row>
    <row r="41" spans="1:7" x14ac:dyDescent="0.25">
      <c r="B41" s="197" t="str">
        <f>+'Dec-Feb Basketball'!A17</f>
        <v>3/4 Boys  &amp; Girls</v>
      </c>
      <c r="C41" s="3">
        <v>46</v>
      </c>
      <c r="D41" s="3">
        <v>60</v>
      </c>
      <c r="E41" s="3">
        <f>+'Dec-Feb Basketball'!C17</f>
        <v>60</v>
      </c>
      <c r="F41" s="7">
        <f t="shared" si="8"/>
        <v>0</v>
      </c>
      <c r="G41" s="36">
        <f t="shared" si="9"/>
        <v>0</v>
      </c>
    </row>
    <row r="42" spans="1:7" x14ac:dyDescent="0.25">
      <c r="B42" s="197" t="str">
        <f>+'Dec-Feb Basketball'!A18</f>
        <v xml:space="preserve">5/6 Boys &amp; Girls </v>
      </c>
      <c r="C42" s="3">
        <v>56</v>
      </c>
      <c r="D42" s="3">
        <v>60</v>
      </c>
      <c r="E42" s="3">
        <f>+'Dec-Feb Basketball'!C18</f>
        <v>60</v>
      </c>
      <c r="F42" s="7">
        <f t="shared" si="8"/>
        <v>0</v>
      </c>
      <c r="G42" s="36">
        <f t="shared" si="9"/>
        <v>0</v>
      </c>
    </row>
    <row r="43" spans="1:7" x14ac:dyDescent="0.25">
      <c r="B43" s="197" t="str">
        <f>+'Dec-Feb Basketball'!A19</f>
        <v>7/8 Boys</v>
      </c>
      <c r="C43" s="3">
        <v>56</v>
      </c>
      <c r="D43" s="3">
        <v>60</v>
      </c>
      <c r="E43" s="3">
        <f>+'Dec-Feb Basketball'!C19</f>
        <v>60</v>
      </c>
      <c r="F43" s="7">
        <f t="shared" si="8"/>
        <v>0</v>
      </c>
      <c r="G43" s="36">
        <f t="shared" si="9"/>
        <v>0</v>
      </c>
    </row>
    <row r="44" spans="1:7" x14ac:dyDescent="0.25">
      <c r="C44" s="3"/>
      <c r="D44" s="3"/>
      <c r="E44" s="3"/>
      <c r="F44" s="7"/>
      <c r="G44" s="36"/>
    </row>
    <row r="45" spans="1:7" x14ac:dyDescent="0.25">
      <c r="A45" s="198" t="str">
        <f>+'Nov 3on3 Basketball'!A1</f>
        <v>3on3 Basketball</v>
      </c>
      <c r="B45" s="199"/>
      <c r="C45" s="201"/>
      <c r="D45" s="201"/>
      <c r="E45" s="201"/>
      <c r="F45" s="202"/>
      <c r="G45" s="200"/>
    </row>
    <row r="46" spans="1:7" x14ac:dyDescent="0.25">
      <c r="B46" s="197" t="str">
        <f>+'Nov 3on3 Basketball'!A15</f>
        <v>3-4 Boys</v>
      </c>
      <c r="C46" s="3" t="s">
        <v>237</v>
      </c>
      <c r="D46" s="3">
        <v>45</v>
      </c>
      <c r="E46" s="3">
        <f>+'Nov 3on3 Basketball'!C15</f>
        <v>45</v>
      </c>
      <c r="F46" s="7">
        <f t="shared" ref="F46:F50" si="10">E46-D46</f>
        <v>0</v>
      </c>
      <c r="G46" s="36">
        <f t="shared" ref="G46:G50" si="11">F46/D46</f>
        <v>0</v>
      </c>
    </row>
    <row r="47" spans="1:7" x14ac:dyDescent="0.25">
      <c r="B47" s="197" t="str">
        <f>+'Nov 3on3 Basketball'!A16</f>
        <v>5-6 Girls</v>
      </c>
      <c r="C47" s="3" t="s">
        <v>237</v>
      </c>
      <c r="D47" s="3">
        <v>60</v>
      </c>
      <c r="E47" s="3">
        <f>+'Nov 3on3 Basketball'!C16</f>
        <v>60</v>
      </c>
      <c r="F47" s="7">
        <f t="shared" si="10"/>
        <v>0</v>
      </c>
      <c r="G47" s="36">
        <f t="shared" si="11"/>
        <v>0</v>
      </c>
    </row>
    <row r="48" spans="1:7" x14ac:dyDescent="0.25">
      <c r="B48" s="197" t="str">
        <f>+'Nov 3on3 Basketball'!A17</f>
        <v>5-6 Boys</v>
      </c>
      <c r="C48" s="3" t="s">
        <v>237</v>
      </c>
      <c r="D48" s="3">
        <v>60</v>
      </c>
      <c r="E48" s="3">
        <f>+'Nov 3on3 Basketball'!C17</f>
        <v>60</v>
      </c>
      <c r="F48" s="7">
        <f t="shared" si="10"/>
        <v>0</v>
      </c>
      <c r="G48" s="36">
        <f t="shared" si="11"/>
        <v>0</v>
      </c>
    </row>
    <row r="49" spans="1:7" x14ac:dyDescent="0.25">
      <c r="B49" s="197" t="str">
        <f>+'Nov 3on3 Basketball'!A18</f>
        <v>7-8 Girls</v>
      </c>
      <c r="C49" s="3" t="s">
        <v>237</v>
      </c>
      <c r="D49" s="3">
        <v>60</v>
      </c>
      <c r="E49" s="3">
        <f>+'Nov 3on3 Basketball'!C18</f>
        <v>60</v>
      </c>
      <c r="F49" s="7">
        <f t="shared" si="10"/>
        <v>0</v>
      </c>
      <c r="G49" s="36">
        <f t="shared" si="11"/>
        <v>0</v>
      </c>
    </row>
    <row r="50" spans="1:7" x14ac:dyDescent="0.25">
      <c r="B50" s="197" t="str">
        <f>+'Nov 3on3 Basketball'!A19</f>
        <v>7-8 Boys</v>
      </c>
      <c r="C50" s="3" t="s">
        <v>237</v>
      </c>
      <c r="D50" s="3">
        <v>60</v>
      </c>
      <c r="E50" s="3">
        <f>+'Nov 3on3 Basketball'!C19</f>
        <v>60</v>
      </c>
      <c r="F50" s="7">
        <f t="shared" si="10"/>
        <v>0</v>
      </c>
      <c r="G50" s="36">
        <f t="shared" si="11"/>
        <v>0</v>
      </c>
    </row>
    <row r="51" spans="1:7" x14ac:dyDescent="0.25">
      <c r="C51" s="3"/>
      <c r="D51" s="3"/>
      <c r="E51" s="3"/>
      <c r="F51" s="7"/>
      <c r="G51" s="36"/>
    </row>
    <row r="52" spans="1:7" x14ac:dyDescent="0.25">
      <c r="A52" s="198" t="str">
        <f>+'Jun-Adult Volleyball'!A1</f>
        <v>Adult Volleyball</v>
      </c>
      <c r="B52" s="199"/>
      <c r="C52" s="201"/>
      <c r="D52" s="201"/>
      <c r="E52" s="201"/>
      <c r="F52" s="202"/>
      <c r="G52" s="200"/>
    </row>
    <row r="53" spans="1:7" x14ac:dyDescent="0.25">
      <c r="B53" s="197" t="str">
        <f>+'Jun-Adult Volleyball'!A15</f>
        <v>Team</v>
      </c>
      <c r="C53" s="3">
        <v>275</v>
      </c>
      <c r="D53" s="3">
        <v>245</v>
      </c>
      <c r="E53" s="3">
        <f>+'Jun-Adult Volleyball'!C15</f>
        <v>245</v>
      </c>
      <c r="F53" s="7">
        <f>E53-D53</f>
        <v>0</v>
      </c>
      <c r="G53" s="36">
        <f>F53/D53</f>
        <v>0</v>
      </c>
    </row>
    <row r="54" spans="1:7" x14ac:dyDescent="0.25">
      <c r="C54" s="3"/>
      <c r="D54" s="3"/>
      <c r="E54" s="3"/>
      <c r="F54" s="7"/>
      <c r="G54" s="36"/>
    </row>
    <row r="55" spans="1:7" x14ac:dyDescent="0.25">
      <c r="A55" s="198" t="str">
        <f>+'Jun-Basketball Camp'!A1</f>
        <v>Basketball Camp</v>
      </c>
      <c r="B55" s="199"/>
      <c r="C55" s="201"/>
      <c r="D55" s="201"/>
      <c r="E55" s="201"/>
      <c r="F55" s="202"/>
      <c r="G55" s="200"/>
    </row>
    <row r="56" spans="1:7" x14ac:dyDescent="0.25">
      <c r="B56" s="197" t="str">
        <f>+'Jun-Basketball Camp'!A15</f>
        <v>PK-3rd</v>
      </c>
      <c r="C56" s="3" t="s">
        <v>237</v>
      </c>
      <c r="D56" s="3">
        <v>40</v>
      </c>
      <c r="E56" s="3">
        <f>+'Jun-Basketball Camp'!C15</f>
        <v>40</v>
      </c>
      <c r="F56" s="7">
        <f t="shared" ref="F56:F57" si="12">E56-D56</f>
        <v>0</v>
      </c>
      <c r="G56" s="36">
        <f t="shared" ref="G56:G57" si="13">F56/D56</f>
        <v>0</v>
      </c>
    </row>
    <row r="57" spans="1:7" x14ac:dyDescent="0.25">
      <c r="B57" s="197" t="str">
        <f>+'Jun-Basketball Camp'!A16</f>
        <v>4-9th</v>
      </c>
      <c r="C57" s="3" t="s">
        <v>237</v>
      </c>
      <c r="D57" s="3">
        <v>110</v>
      </c>
      <c r="E57" s="3">
        <f>+'Jun-Basketball Camp'!C16</f>
        <v>110</v>
      </c>
      <c r="F57" s="7">
        <f t="shared" si="12"/>
        <v>0</v>
      </c>
      <c r="G57" s="36">
        <f t="shared" si="13"/>
        <v>0</v>
      </c>
    </row>
    <row r="59" spans="1:7" x14ac:dyDescent="0.25">
      <c r="A59" s="198" t="str">
        <f>+'Jul-Sep Tackle Football'!A1</f>
        <v>Tackle Football</v>
      </c>
      <c r="B59" s="199"/>
      <c r="C59" s="201"/>
      <c r="D59" s="201"/>
      <c r="E59" s="201"/>
      <c r="F59" s="202"/>
      <c r="G59" s="200"/>
    </row>
    <row r="60" spans="1:7" x14ac:dyDescent="0.25">
      <c r="B60" s="197" t="str">
        <f>+'Jul-Sep Tackle Football'!A15</f>
        <v>All Ages</v>
      </c>
      <c r="C60" s="3" t="s">
        <v>237</v>
      </c>
      <c r="D60" s="3">
        <v>100</v>
      </c>
      <c r="E60" s="3">
        <f>+'Jul-Sep Tackle Football'!C15</f>
        <v>100</v>
      </c>
      <c r="F60" s="7">
        <f t="shared" ref="F60:F61" si="14">E60-D60</f>
        <v>0</v>
      </c>
      <c r="G60" s="36">
        <f>F60/D60</f>
        <v>0</v>
      </c>
    </row>
    <row r="61" spans="1:7" x14ac:dyDescent="0.25">
      <c r="B61" s="197" t="str">
        <f>+'Jul-Sep Tackle Football'!A16</f>
        <v>Jerseys</v>
      </c>
      <c r="C61" s="3" t="s">
        <v>237</v>
      </c>
      <c r="D61" s="3">
        <v>45</v>
      </c>
      <c r="E61" s="3">
        <f>+'Jul-Sep Tackle Football'!C16</f>
        <v>45</v>
      </c>
      <c r="F61" s="7">
        <f t="shared" si="14"/>
        <v>0</v>
      </c>
      <c r="G61" s="36">
        <f>F61/D61</f>
        <v>0</v>
      </c>
    </row>
  </sheetData>
  <mergeCells count="1">
    <mergeCell ref="F3:G3"/>
  </mergeCells>
  <pageMargins left="0.7" right="0.7" top="0.75" bottom="0.75" header="0.3" footer="0.3"/>
  <pageSetup orientation="portrait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B63BF-C18B-426B-A184-55C2776B5AAC}">
  <sheetPr>
    <tabColor rgb="FF0070C0"/>
  </sheetPr>
  <dimension ref="A1:M21"/>
  <sheetViews>
    <sheetView zoomScale="130" zoomScaleNormal="130" workbookViewId="0">
      <selection activeCell="C4" sqref="C4"/>
    </sheetView>
  </sheetViews>
  <sheetFormatPr defaultColWidth="8.85546875" defaultRowHeight="15" x14ac:dyDescent="0.25"/>
  <cols>
    <col min="1" max="1" width="30.140625" customWidth="1"/>
    <col min="2" max="3" width="10.5703125" bestFit="1" customWidth="1"/>
    <col min="4" max="4" width="11.42578125" bestFit="1" customWidth="1"/>
    <col min="5" max="5" width="9" bestFit="1" customWidth="1"/>
  </cols>
  <sheetData>
    <row r="1" spans="1:13" ht="18.75" x14ac:dyDescent="0.3">
      <c r="A1" s="20" t="s">
        <v>375</v>
      </c>
    </row>
    <row r="2" spans="1:13" x14ac:dyDescent="0.25">
      <c r="B2" s="382">
        <v>2023</v>
      </c>
      <c r="C2" s="382">
        <v>2024</v>
      </c>
      <c r="D2" s="382" t="s">
        <v>319</v>
      </c>
      <c r="E2" s="382" t="s">
        <v>376</v>
      </c>
    </row>
    <row r="3" spans="1:13" ht="18.75" x14ac:dyDescent="0.3">
      <c r="A3" s="5" t="s">
        <v>377</v>
      </c>
      <c r="B3" s="380">
        <v>5000</v>
      </c>
      <c r="C3" s="380">
        <v>2500</v>
      </c>
      <c r="D3" s="380">
        <f>+C3-B3</f>
        <v>-2500</v>
      </c>
      <c r="E3" s="381">
        <f>+D3/B3</f>
        <v>-0.5</v>
      </c>
      <c r="F3" s="51"/>
      <c r="G3" s="51"/>
      <c r="H3" s="51"/>
      <c r="I3" s="51"/>
      <c r="J3" s="51"/>
      <c r="K3" s="51"/>
      <c r="L3" s="51"/>
      <c r="M3" s="51"/>
    </row>
    <row r="4" spans="1:13" s="5" customFormat="1" x14ac:dyDescent="0.25">
      <c r="A4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3" x14ac:dyDescent="0.25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x14ac:dyDescent="0.25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x14ac:dyDescent="0.25"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</row>
    <row r="19" spans="1:1" ht="6" customHeight="1" x14ac:dyDescent="0.25"/>
    <row r="20" spans="1:1" s="5" customFormat="1" x14ac:dyDescent="0.25">
      <c r="A20"/>
    </row>
    <row r="21" spans="1:1" ht="15" customHeight="1" x14ac:dyDescent="0.25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D9942-FBE0-41A3-895F-110F70F7675B}">
  <sheetPr>
    <tabColor rgb="FF0070C0"/>
  </sheetPr>
  <dimension ref="A1:N21"/>
  <sheetViews>
    <sheetView workbookViewId="0">
      <selection activeCell="B4" sqref="B4:M4"/>
    </sheetView>
  </sheetViews>
  <sheetFormatPr defaultColWidth="8.85546875" defaultRowHeight="15" x14ac:dyDescent="0.25"/>
  <cols>
    <col min="1" max="1" width="30.140625" customWidth="1"/>
    <col min="2" max="14" width="11.7109375" customWidth="1"/>
  </cols>
  <sheetData>
    <row r="1" spans="1:14" ht="18.75" x14ac:dyDescent="0.3">
      <c r="A1" s="20" t="s">
        <v>396</v>
      </c>
    </row>
    <row r="3" spans="1:14" x14ac:dyDescent="0.25">
      <c r="B3" s="49" t="s">
        <v>373</v>
      </c>
      <c r="C3" s="49" t="s">
        <v>349</v>
      </c>
      <c r="D3" s="49" t="s">
        <v>324</v>
      </c>
      <c r="E3" s="49" t="s">
        <v>339</v>
      </c>
      <c r="F3" s="49" t="s">
        <v>227</v>
      </c>
      <c r="G3" s="49" t="s">
        <v>341</v>
      </c>
      <c r="H3" s="49" t="s">
        <v>362</v>
      </c>
      <c r="I3" s="49" t="s">
        <v>344</v>
      </c>
      <c r="J3" s="49" t="s">
        <v>346</v>
      </c>
      <c r="K3" s="49" t="s">
        <v>374</v>
      </c>
      <c r="L3" s="49" t="s">
        <v>296</v>
      </c>
      <c r="M3" s="49" t="s">
        <v>348</v>
      </c>
      <c r="N3" s="50" t="s">
        <v>3</v>
      </c>
    </row>
    <row r="4" spans="1:14" s="5" customFormat="1" x14ac:dyDescent="0.25">
      <c r="A4" t="s">
        <v>214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</row>
    <row r="5" spans="1:14" x14ac:dyDescent="0.25">
      <c r="A5" t="s">
        <v>394</v>
      </c>
      <c r="B5" s="203">
        <v>2.1827498800000001E-2</v>
      </c>
      <c r="C5" s="203">
        <v>2.1827498800000001E-2</v>
      </c>
      <c r="D5" s="203">
        <v>2.1827498800000001E-2</v>
      </c>
      <c r="E5" s="203">
        <v>2.1827498800000001E-2</v>
      </c>
      <c r="F5" s="203">
        <v>2.1827498800000001E-2</v>
      </c>
      <c r="G5" s="203">
        <v>2.1827498800000001E-2</v>
      </c>
      <c r="H5" s="203">
        <v>2.1827498800000001E-2</v>
      </c>
      <c r="I5" s="203">
        <v>2.1827498800000001E-2</v>
      </c>
      <c r="J5" s="203">
        <v>2.1827498800000001E-2</v>
      </c>
      <c r="K5" s="203">
        <v>2.1827498800000001E-2</v>
      </c>
      <c r="L5" s="203">
        <v>2.1827498800000001E-2</v>
      </c>
      <c r="M5" s="203">
        <v>2.1827498800000001E-2</v>
      </c>
    </row>
    <row r="6" spans="1:14" x14ac:dyDescent="0.25">
      <c r="A6" t="s">
        <v>395</v>
      </c>
      <c r="B6" s="183">
        <v>31</v>
      </c>
      <c r="C6" s="183">
        <v>28</v>
      </c>
      <c r="D6" s="183">
        <v>31</v>
      </c>
      <c r="E6" s="183">
        <v>30</v>
      </c>
      <c r="F6" s="183">
        <v>31</v>
      </c>
      <c r="G6" s="183">
        <v>30</v>
      </c>
      <c r="H6" s="183">
        <v>31</v>
      </c>
      <c r="I6" s="183">
        <v>31</v>
      </c>
      <c r="J6" s="183">
        <v>30</v>
      </c>
      <c r="K6" s="183">
        <v>31</v>
      </c>
      <c r="L6" s="183">
        <v>30</v>
      </c>
      <c r="M6" s="183">
        <v>31</v>
      </c>
    </row>
    <row r="7" spans="1:14" x14ac:dyDescent="0.25">
      <c r="A7" t="s">
        <v>39</v>
      </c>
      <c r="B7" s="35">
        <f>+B4*(B5/365)*B6</f>
        <v>0</v>
      </c>
      <c r="C7" s="35">
        <f t="shared" ref="C7:M7" si="0">+C4*(C5/365)*C6</f>
        <v>0</v>
      </c>
      <c r="D7" s="35">
        <f t="shared" si="0"/>
        <v>0</v>
      </c>
      <c r="E7" s="35">
        <f t="shared" si="0"/>
        <v>0</v>
      </c>
      <c r="F7" s="35">
        <f t="shared" si="0"/>
        <v>0</v>
      </c>
      <c r="G7" s="35">
        <f t="shared" si="0"/>
        <v>0</v>
      </c>
      <c r="H7" s="35">
        <f t="shared" si="0"/>
        <v>0</v>
      </c>
      <c r="I7" s="35">
        <f t="shared" si="0"/>
        <v>0</v>
      </c>
      <c r="J7" s="35">
        <f t="shared" si="0"/>
        <v>0</v>
      </c>
      <c r="K7" s="35">
        <f t="shared" si="0"/>
        <v>0</v>
      </c>
      <c r="L7" s="35">
        <f t="shared" si="0"/>
        <v>0</v>
      </c>
      <c r="M7" s="35">
        <f t="shared" si="0"/>
        <v>0</v>
      </c>
      <c r="N7" s="402">
        <f>+SUM(B7:M7)</f>
        <v>0</v>
      </c>
    </row>
    <row r="8" spans="1:14" x14ac:dyDescent="0.25"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</row>
    <row r="9" spans="1:14" x14ac:dyDescent="0.25">
      <c r="B9" s="35"/>
    </row>
    <row r="19" spans="1:1" ht="6" customHeight="1" x14ac:dyDescent="0.25"/>
    <row r="20" spans="1:1" s="5" customFormat="1" x14ac:dyDescent="0.25">
      <c r="A20"/>
    </row>
    <row r="21" spans="1:1" ht="15" customHeight="1" x14ac:dyDescent="0.25"/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7BB08-E043-4899-8961-9CA7AE471E1B}">
  <sheetPr>
    <tabColor rgb="FF0070C0"/>
  </sheetPr>
  <dimension ref="A1:N21"/>
  <sheetViews>
    <sheetView zoomScale="130" zoomScaleNormal="130" workbookViewId="0">
      <selection activeCell="N5" sqref="N5"/>
    </sheetView>
  </sheetViews>
  <sheetFormatPr defaultColWidth="8.85546875" defaultRowHeight="15" x14ac:dyDescent="0.25"/>
  <cols>
    <col min="1" max="1" width="30.140625" customWidth="1"/>
    <col min="2" max="13" width="12.28515625" bestFit="1" customWidth="1"/>
    <col min="14" max="14" width="11.7109375" customWidth="1"/>
  </cols>
  <sheetData>
    <row r="1" spans="1:14" ht="18.75" x14ac:dyDescent="0.3">
      <c r="A1" s="20" t="s">
        <v>405</v>
      </c>
    </row>
    <row r="3" spans="1:14" x14ac:dyDescent="0.25">
      <c r="B3" s="49" t="s">
        <v>373</v>
      </c>
      <c r="C3" s="49" t="s">
        <v>349</v>
      </c>
      <c r="D3" s="49" t="s">
        <v>324</v>
      </c>
      <c r="E3" s="49" t="s">
        <v>339</v>
      </c>
      <c r="F3" s="49" t="s">
        <v>227</v>
      </c>
      <c r="G3" s="49" t="s">
        <v>341</v>
      </c>
      <c r="H3" s="49" t="s">
        <v>362</v>
      </c>
      <c r="I3" s="49" t="s">
        <v>344</v>
      </c>
      <c r="J3" s="49" t="s">
        <v>346</v>
      </c>
      <c r="K3" s="49" t="s">
        <v>374</v>
      </c>
      <c r="L3" s="49" t="s">
        <v>296</v>
      </c>
      <c r="M3" s="49" t="s">
        <v>348</v>
      </c>
      <c r="N3" s="50" t="s">
        <v>3</v>
      </c>
    </row>
    <row r="4" spans="1:14" s="5" customFormat="1" x14ac:dyDescent="0.25">
      <c r="A4" t="s">
        <v>134</v>
      </c>
      <c r="B4" s="3">
        <f>+B6*$N$4</f>
        <v>43784.391050063154</v>
      </c>
      <c r="C4" s="3">
        <f t="shared" ref="C4:M4" si="0">+C6*$N$4</f>
        <v>11243.670429000689</v>
      </c>
      <c r="D4" s="3">
        <f t="shared" si="0"/>
        <v>2204.7206429762336</v>
      </c>
      <c r="E4" s="3">
        <f t="shared" si="0"/>
        <v>0</v>
      </c>
      <c r="F4" s="3">
        <f t="shared" si="0"/>
        <v>1703.0957011478606</v>
      </c>
      <c r="G4" s="3">
        <f t="shared" si="0"/>
        <v>4431.8014727122227</v>
      </c>
      <c r="H4" s="3">
        <f t="shared" si="0"/>
        <v>2074.0474624136473</v>
      </c>
      <c r="I4" s="3">
        <f t="shared" si="0"/>
        <v>1340.0696606764434</v>
      </c>
      <c r="J4" s="3">
        <f t="shared" si="0"/>
        <v>0</v>
      </c>
      <c r="K4" s="3">
        <f t="shared" si="0"/>
        <v>4311.0626926738187</v>
      </c>
      <c r="L4" s="3">
        <f t="shared" si="0"/>
        <v>3652.7607319201902</v>
      </c>
      <c r="M4" s="3">
        <f t="shared" si="0"/>
        <v>106839.23015641575</v>
      </c>
      <c r="N4" s="3">
        <v>181584.85</v>
      </c>
    </row>
    <row r="5" spans="1:14" x14ac:dyDescent="0.25">
      <c r="A5" t="s">
        <v>401</v>
      </c>
    </row>
    <row r="6" spans="1:14" x14ac:dyDescent="0.25">
      <c r="A6" t="s">
        <v>402</v>
      </c>
      <c r="B6" s="423">
        <v>0.24112359070739189</v>
      </c>
      <c r="C6" s="423">
        <v>6.1919650394846752E-2</v>
      </c>
      <c r="D6" s="423">
        <v>1.2141545084715127E-2</v>
      </c>
      <c r="E6" s="423">
        <v>0</v>
      </c>
      <c r="F6" s="423">
        <v>9.3790627420066181E-3</v>
      </c>
      <c r="G6" s="423">
        <v>2.4406229224036159E-2</v>
      </c>
      <c r="H6" s="423">
        <v>1.1421919077575289E-2</v>
      </c>
      <c r="I6" s="423">
        <v>7.3798538847070303E-3</v>
      </c>
      <c r="J6" s="423">
        <v>0</v>
      </c>
      <c r="K6" s="423">
        <v>2.3741312629736559E-2</v>
      </c>
      <c r="L6" s="423">
        <v>2.0115999390478832E-2</v>
      </c>
      <c r="M6" s="423">
        <v>0.58837083686450575</v>
      </c>
    </row>
    <row r="8" spans="1:14" x14ac:dyDescent="0.25"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</row>
    <row r="9" spans="1:14" x14ac:dyDescent="0.25">
      <c r="B9" s="35"/>
    </row>
    <row r="19" spans="1:1" ht="6" customHeight="1" x14ac:dyDescent="0.25"/>
    <row r="20" spans="1:1" s="5" customFormat="1" x14ac:dyDescent="0.25">
      <c r="A20"/>
    </row>
    <row r="21" spans="1:1" ht="15" customHeight="1" x14ac:dyDescent="0.25"/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66711-223D-4BA3-8072-BCDF5217C206}">
  <sheetPr>
    <tabColor rgb="FF513D8B"/>
    <pageSetUpPr fitToPage="1"/>
  </sheetPr>
  <dimension ref="A1:Y28"/>
  <sheetViews>
    <sheetView showGridLines="0" zoomScale="145" zoomScaleNormal="145" workbookViewId="0">
      <selection activeCell="S23" sqref="S23:S24"/>
    </sheetView>
  </sheetViews>
  <sheetFormatPr defaultColWidth="8.85546875" defaultRowHeight="15" x14ac:dyDescent="0.25"/>
  <cols>
    <col min="1" max="1" width="30.140625" customWidth="1"/>
    <col min="2" max="2" width="1.140625" customWidth="1"/>
    <col min="3" max="3" width="10.7109375" customWidth="1"/>
    <col min="4" max="4" width="1.7109375" customWidth="1"/>
    <col min="5" max="5" width="10.7109375" customWidth="1"/>
    <col min="6" max="6" width="1.42578125" customWidth="1"/>
    <col min="7" max="7" width="16.7109375" style="4" customWidth="1"/>
    <col min="8" max="8" width="1.85546875" style="3" customWidth="1"/>
    <col min="9" max="9" width="16.7109375" style="3" customWidth="1"/>
    <col min="10" max="10" width="1.7109375" style="10" customWidth="1"/>
    <col min="11" max="11" width="16.7109375" style="3" customWidth="1"/>
    <col min="12" max="12" width="1.7109375" customWidth="1"/>
    <col min="13" max="13" width="10.7109375" bestFit="1" customWidth="1"/>
    <col min="14" max="14" width="1.7109375" customWidth="1"/>
    <col min="15" max="15" width="15.28515625" style="3" customWidth="1"/>
    <col min="16" max="16" width="1.7109375" customWidth="1"/>
    <col min="17" max="17" width="15.28515625" style="3" customWidth="1"/>
    <col min="18" max="18" width="1.42578125" customWidth="1"/>
    <col min="19" max="19" width="10" customWidth="1"/>
    <col min="20" max="20" width="3" customWidth="1"/>
    <col min="21" max="21" width="14.28515625" bestFit="1" customWidth="1"/>
    <col min="22" max="22" width="3" customWidth="1"/>
    <col min="23" max="23" width="14.28515625" bestFit="1" customWidth="1"/>
    <col min="24" max="24" width="1.7109375" customWidth="1"/>
    <col min="25" max="25" width="11.5703125" bestFit="1" customWidth="1"/>
    <col min="26" max="26" width="2" customWidth="1"/>
  </cols>
  <sheetData>
    <row r="1" spans="1:25" ht="18.75" x14ac:dyDescent="0.3">
      <c r="A1" s="20" t="s">
        <v>222</v>
      </c>
    </row>
    <row r="2" spans="1:25" ht="15.75" x14ac:dyDescent="0.25">
      <c r="A2" s="9"/>
    </row>
    <row r="3" spans="1:25" ht="15.75" thickBot="1" x14ac:dyDescent="0.3">
      <c r="O3"/>
      <c r="Q3"/>
    </row>
    <row r="4" spans="1:25" s="5" customFormat="1" ht="19.5" thickBot="1" x14ac:dyDescent="0.35">
      <c r="C4" s="306" t="s">
        <v>354</v>
      </c>
      <c r="D4" s="307"/>
      <c r="E4" s="307"/>
      <c r="F4" s="307"/>
      <c r="G4" s="307"/>
      <c r="H4" s="307"/>
      <c r="I4" s="307"/>
      <c r="J4" s="307"/>
      <c r="K4" s="307"/>
      <c r="L4" s="307"/>
      <c r="M4" s="308"/>
      <c r="N4" s="265"/>
      <c r="O4" s="309" t="s">
        <v>359</v>
      </c>
      <c r="P4" s="310"/>
      <c r="Q4" s="311"/>
      <c r="R4" s="305"/>
      <c r="S4" s="318" t="s">
        <v>358</v>
      </c>
      <c r="T4" s="319"/>
      <c r="U4" s="319"/>
      <c r="V4" s="319"/>
      <c r="W4" s="319"/>
      <c r="X4" s="319"/>
      <c r="Y4" s="320"/>
    </row>
    <row r="5" spans="1:25" x14ac:dyDescent="0.25">
      <c r="A5" s="377" t="s">
        <v>351</v>
      </c>
      <c r="C5" s="362" t="s">
        <v>225</v>
      </c>
      <c r="D5" s="363"/>
      <c r="E5" s="362" t="s">
        <v>226</v>
      </c>
      <c r="F5" s="364"/>
      <c r="G5" s="365" t="s">
        <v>202</v>
      </c>
      <c r="H5" s="366"/>
      <c r="I5" s="367" t="s">
        <v>224</v>
      </c>
      <c r="J5" s="368"/>
      <c r="K5" s="369" t="s">
        <v>327</v>
      </c>
      <c r="L5" s="364"/>
      <c r="M5" s="370" t="s">
        <v>328</v>
      </c>
      <c r="N5" s="371"/>
      <c r="O5" s="370" t="s">
        <v>355</v>
      </c>
      <c r="P5" s="371"/>
      <c r="Q5" s="370" t="s">
        <v>356</v>
      </c>
      <c r="R5" s="371"/>
      <c r="S5" s="372" t="s">
        <v>357</v>
      </c>
      <c r="T5" s="373"/>
      <c r="U5" s="374" t="s">
        <v>202</v>
      </c>
      <c r="V5" s="373"/>
      <c r="W5" s="374" t="s">
        <v>352</v>
      </c>
      <c r="X5" s="375" t="s">
        <v>101</v>
      </c>
      <c r="Y5" s="376" t="s">
        <v>353</v>
      </c>
    </row>
    <row r="6" spans="1:25" x14ac:dyDescent="0.25">
      <c r="C6" s="336"/>
      <c r="D6" s="337"/>
      <c r="E6" s="337"/>
      <c r="F6" s="338"/>
      <c r="G6" s="339"/>
      <c r="H6" s="340"/>
      <c r="I6" s="340"/>
      <c r="J6" s="340"/>
      <c r="K6" s="340"/>
      <c r="L6" s="338"/>
      <c r="M6" s="341"/>
      <c r="N6" s="265"/>
      <c r="O6" s="327"/>
      <c r="P6" s="321"/>
      <c r="Q6" s="328"/>
      <c r="R6" s="265"/>
      <c r="S6" s="359"/>
      <c r="T6" s="321"/>
      <c r="U6" s="360"/>
      <c r="V6" s="321"/>
      <c r="W6" s="360"/>
      <c r="X6" s="360"/>
      <c r="Y6" s="361"/>
    </row>
    <row r="7" spans="1:25" x14ac:dyDescent="0.25">
      <c r="C7" s="342"/>
      <c r="D7" s="283"/>
      <c r="E7" s="283"/>
      <c r="F7" s="282"/>
      <c r="G7" s="312"/>
      <c r="H7" s="343"/>
      <c r="I7" s="343"/>
      <c r="J7" s="343"/>
      <c r="K7" s="343"/>
      <c r="L7" s="282"/>
      <c r="M7" s="344"/>
      <c r="O7" s="329"/>
      <c r="P7" s="282"/>
      <c r="Q7" s="330"/>
      <c r="S7" s="324"/>
      <c r="T7" s="282"/>
      <c r="U7" s="322"/>
      <c r="V7" s="282"/>
      <c r="W7" s="322"/>
      <c r="X7" s="322"/>
      <c r="Y7" s="323"/>
    </row>
    <row r="8" spans="1:25" x14ac:dyDescent="0.25">
      <c r="A8" s="5" t="str">
        <f>+'Mar Youth Volleyball'!A1</f>
        <v>Youth Volleyball</v>
      </c>
      <c r="C8" s="342" t="str">
        <f>+'Mar Youth Volleyball'!D3</f>
        <v>Mar</v>
      </c>
      <c r="D8" s="283"/>
      <c r="E8" s="283" t="str">
        <f>+'Mar Youth Volleyball'!E3</f>
        <v>Mar</v>
      </c>
      <c r="F8" s="282"/>
      <c r="G8" s="345">
        <f>'Mar Youth Volleyball'!E25</f>
        <v>3150</v>
      </c>
      <c r="H8" s="345"/>
      <c r="I8" s="345">
        <f>'Mar Youth Volleyball'!E54</f>
        <v>2790</v>
      </c>
      <c r="J8" s="346"/>
      <c r="K8" s="345">
        <f t="shared" ref="K8:K14" si="0">+G8-I8</f>
        <v>360</v>
      </c>
      <c r="L8" s="332"/>
      <c r="M8" s="347">
        <f>+K8/G8</f>
        <v>0.11428571428571428</v>
      </c>
      <c r="N8" s="317"/>
      <c r="O8" s="331">
        <f>IF(K8&gt;0,0,-K8)</f>
        <v>0</v>
      </c>
      <c r="P8" s="332"/>
      <c r="Q8" s="333">
        <f>+O8/S8</f>
        <v>0</v>
      </c>
      <c r="R8" s="317"/>
      <c r="S8" s="356">
        <f>+'Mar Youth Volleyball'!B20</f>
        <v>70</v>
      </c>
      <c r="T8" s="282"/>
      <c r="U8" s="345">
        <f>+'Mar Youth Volleyball'!E8</f>
        <v>45</v>
      </c>
      <c r="V8" s="282"/>
      <c r="W8" s="345">
        <f>+'Mar Youth Volleyball'!E9</f>
        <v>39.857142857142854</v>
      </c>
      <c r="X8" s="322"/>
      <c r="Y8" s="333">
        <f>+'Mar Youth Volleyball'!E11</f>
        <v>5.1428571428571432</v>
      </c>
    </row>
    <row r="9" spans="1:25" x14ac:dyDescent="0.25">
      <c r="A9" s="5" t="str">
        <f>+'Equestrian May to Aug'!A1</f>
        <v>Equestrian</v>
      </c>
      <c r="C9" s="342" t="str">
        <f>+'Equestrian May to Aug'!D3</f>
        <v>May</v>
      </c>
      <c r="D9" s="283"/>
      <c r="E9" s="283" t="str">
        <f>+'Equestrian May to Aug'!E3</f>
        <v>Aug</v>
      </c>
      <c r="F9" s="282"/>
      <c r="G9" s="345">
        <f>+'Equestrian May to Aug'!E26</f>
        <v>4713.42</v>
      </c>
      <c r="H9" s="345"/>
      <c r="I9" s="345">
        <f>+'Equestrian May to Aug'!E56</f>
        <v>5226</v>
      </c>
      <c r="J9" s="345"/>
      <c r="K9" s="345">
        <f t="shared" si="0"/>
        <v>-512.57999999999993</v>
      </c>
      <c r="L9" s="332"/>
      <c r="M9" s="347">
        <f>+K9/G9</f>
        <v>-0.10874906119123692</v>
      </c>
      <c r="N9" s="317"/>
      <c r="O9" s="331">
        <f t="shared" ref="O9:O17" si="1">IF(K9&gt;0,0,-K9)</f>
        <v>512.57999999999993</v>
      </c>
      <c r="P9" s="332"/>
      <c r="Q9" s="333">
        <f>+O9/S9</f>
        <v>17.085999999999999</v>
      </c>
      <c r="R9" s="317"/>
      <c r="S9" s="356">
        <f>+'Equestrian May to Aug'!B21</f>
        <v>30</v>
      </c>
      <c r="T9" s="282"/>
      <c r="U9" s="345">
        <f>+'Equestrian May to Aug'!E8</f>
        <v>157.114</v>
      </c>
      <c r="V9" s="282"/>
      <c r="W9" s="345">
        <f>+'Equestrian May to Aug'!E9</f>
        <v>174.2</v>
      </c>
      <c r="X9" s="322"/>
      <c r="Y9" s="333">
        <f>+'Equestrian May to Aug'!E11</f>
        <v>-17.085999999999999</v>
      </c>
    </row>
    <row r="10" spans="1:25" x14ac:dyDescent="0.25">
      <c r="A10" s="5" t="str">
        <f>+'Apr-May Flag Football'!A1</f>
        <v>Flag Football</v>
      </c>
      <c r="C10" s="342" t="str">
        <f>+'Apr-May Flag Football'!D3</f>
        <v>Apr</v>
      </c>
      <c r="D10" s="283"/>
      <c r="E10" s="283" t="str">
        <f>+'Apr-May Flag Football'!E3</f>
        <v>May</v>
      </c>
      <c r="F10" s="282"/>
      <c r="G10" s="345">
        <f>+'Apr-May Flag Football'!E26</f>
        <v>6600</v>
      </c>
      <c r="H10" s="345"/>
      <c r="I10" s="345">
        <f>+'Apr-May Flag Football'!E55</f>
        <v>6010</v>
      </c>
      <c r="J10" s="345"/>
      <c r="K10" s="345">
        <f t="shared" si="0"/>
        <v>590</v>
      </c>
      <c r="L10" s="332"/>
      <c r="M10" s="347">
        <f>+K10/G10</f>
        <v>8.9393939393939401E-2</v>
      </c>
      <c r="N10" s="317"/>
      <c r="O10" s="331">
        <f t="shared" si="1"/>
        <v>0</v>
      </c>
      <c r="P10" s="332"/>
      <c r="Q10" s="333">
        <f>+O10/S10</f>
        <v>0</v>
      </c>
      <c r="R10" s="317"/>
      <c r="S10" s="356">
        <f>+'Apr-May Flag Football'!B21</f>
        <v>140</v>
      </c>
      <c r="T10" s="282"/>
      <c r="U10" s="345">
        <f>+'Apr-May Flag Football'!E8</f>
        <v>47.142857142857146</v>
      </c>
      <c r="V10" s="282"/>
      <c r="W10" s="345">
        <f>+'Apr-May Flag Football'!E9</f>
        <v>42.928571428571431</v>
      </c>
      <c r="X10" s="322"/>
      <c r="Y10" s="333">
        <f>+'Apr-May Flag Football'!E11</f>
        <v>4.2142857142857144</v>
      </c>
    </row>
    <row r="11" spans="1:25" x14ac:dyDescent="0.25">
      <c r="A11" s="5" t="str">
        <f>+'May-Jun Baseball &amp; Softball'!A1</f>
        <v>Baseball &amp; Softball</v>
      </c>
      <c r="C11" s="342" t="str">
        <f>+'May-Jun Baseball &amp; Softball'!D3</f>
        <v>May</v>
      </c>
      <c r="D11" s="283"/>
      <c r="E11" s="283" t="str">
        <f>+'May-Jun Baseball &amp; Softball'!E3</f>
        <v>Jun</v>
      </c>
      <c r="F11" s="282"/>
      <c r="G11" s="345">
        <f>+'May-Jun Baseball &amp; Softball'!E26</f>
        <v>14020</v>
      </c>
      <c r="H11" s="345"/>
      <c r="I11" s="345">
        <f>+'May-Jun Baseball &amp; Softball'!E55</f>
        <v>13400</v>
      </c>
      <c r="J11" s="345"/>
      <c r="K11" s="345">
        <f t="shared" si="0"/>
        <v>620</v>
      </c>
      <c r="L11" s="332"/>
      <c r="M11" s="347">
        <f>+K11/G11</f>
        <v>4.4222539229671898E-2</v>
      </c>
      <c r="N11" s="317"/>
      <c r="O11" s="331">
        <f t="shared" si="1"/>
        <v>0</v>
      </c>
      <c r="P11" s="332"/>
      <c r="Q11" s="333">
        <f>+O11/S11</f>
        <v>0</v>
      </c>
      <c r="R11" s="317"/>
      <c r="S11" s="356">
        <f>+'May-Jun Baseball &amp; Softball'!B21</f>
        <v>256</v>
      </c>
      <c r="T11" s="282"/>
      <c r="U11" s="345">
        <f>+'May-Jun Baseball &amp; Softball'!E8</f>
        <v>54.765625</v>
      </c>
      <c r="V11" s="282"/>
      <c r="W11" s="345">
        <f>+'May-Jun Baseball &amp; Softball'!E9</f>
        <v>52.34375</v>
      </c>
      <c r="X11" s="322"/>
      <c r="Y11" s="333">
        <f>+'May-Jun Baseball &amp; Softball'!E11</f>
        <v>2.421875</v>
      </c>
    </row>
    <row r="12" spans="1:25" x14ac:dyDescent="0.25">
      <c r="A12" s="5" t="str">
        <f>+'Group Training-April'!A1</f>
        <v>Group Training</v>
      </c>
      <c r="C12" s="342" t="str">
        <f>+'Group Training-April'!D3</f>
        <v>Apr</v>
      </c>
      <c r="D12" s="283"/>
      <c r="E12" s="283" t="str">
        <f>+'Group Training-April'!E3</f>
        <v>Apr</v>
      </c>
      <c r="F12" s="282"/>
      <c r="G12" s="345">
        <f>+'Group Training-April'!E26</f>
        <v>4277</v>
      </c>
      <c r="H12" s="345"/>
      <c r="I12" s="345">
        <f>+'Group Training-April'!E58</f>
        <v>4252</v>
      </c>
      <c r="J12" s="345"/>
      <c r="K12" s="345">
        <f t="shared" si="0"/>
        <v>25</v>
      </c>
      <c r="L12" s="332"/>
      <c r="M12" s="347">
        <f>+K12/G12</f>
        <v>5.8452186111760578E-3</v>
      </c>
      <c r="N12" s="317"/>
      <c r="O12" s="331">
        <f t="shared" si="1"/>
        <v>0</v>
      </c>
      <c r="P12" s="332"/>
      <c r="Q12" s="333">
        <f>+O12/S12</f>
        <v>0</v>
      </c>
      <c r="R12" s="317"/>
      <c r="S12" s="356">
        <f>+'Group Training-April'!B21</f>
        <v>57</v>
      </c>
      <c r="T12" s="282"/>
      <c r="U12" s="345">
        <f>+'Group Training-April'!E8</f>
        <v>75.035087719298247</v>
      </c>
      <c r="V12" s="282"/>
      <c r="W12" s="345">
        <f>+'Group Training-April'!E9</f>
        <v>74.596491228070178</v>
      </c>
      <c r="X12" s="322"/>
      <c r="Y12" s="333">
        <f>+'Group Training-April'!E11</f>
        <v>0.43859649122807015</v>
      </c>
    </row>
    <row r="13" spans="1:25" x14ac:dyDescent="0.25">
      <c r="A13" s="5" t="str">
        <f>+'Aug-Sep Soccer'!A1</f>
        <v>Soccer</v>
      </c>
      <c r="C13" s="342" t="str">
        <f>+'Aug-Sep Soccer'!D3</f>
        <v>Aug</v>
      </c>
      <c r="D13" s="283"/>
      <c r="E13" s="283" t="str">
        <f>+'Aug-Sep Soccer'!E3</f>
        <v>Sep</v>
      </c>
      <c r="F13" s="282"/>
      <c r="G13" s="345">
        <f>+'Aug-Sep Soccer'!E26</f>
        <v>3575</v>
      </c>
      <c r="H13" s="345"/>
      <c r="I13" s="345">
        <f>+'Aug-Sep Soccer'!E55</f>
        <v>2295.5</v>
      </c>
      <c r="J13" s="345"/>
      <c r="K13" s="345">
        <f t="shared" si="0"/>
        <v>1279.5</v>
      </c>
      <c r="L13" s="332"/>
      <c r="M13" s="347">
        <f>+K13/G13</f>
        <v>0.35790209790209793</v>
      </c>
      <c r="N13" s="317"/>
      <c r="O13" s="331">
        <f t="shared" si="1"/>
        <v>0</v>
      </c>
      <c r="P13" s="332"/>
      <c r="Q13" s="333">
        <f>+O13/S13</f>
        <v>0</v>
      </c>
      <c r="R13" s="317"/>
      <c r="S13" s="356">
        <f>+'Aug-Sep Soccer'!B21</f>
        <v>100</v>
      </c>
      <c r="T13" s="282"/>
      <c r="U13" s="345">
        <f>+'Aug-Sep Soccer'!E8</f>
        <v>35.75</v>
      </c>
      <c r="V13" s="282"/>
      <c r="W13" s="345">
        <f>+'Aug-Sep Soccer'!E9</f>
        <v>22.954999999999998</v>
      </c>
      <c r="X13" s="322"/>
      <c r="Y13" s="333">
        <f>+'Aug-Sep Soccer'!E11</f>
        <v>12.795</v>
      </c>
    </row>
    <row r="14" spans="1:25" x14ac:dyDescent="0.25">
      <c r="A14" s="5" t="str">
        <f>+'Dec-Feb Basketball'!A1</f>
        <v>Basketball</v>
      </c>
      <c r="C14" s="342" t="str">
        <f>+'Dec-Feb Basketball'!D3</f>
        <v>Dec</v>
      </c>
      <c r="D14" s="283"/>
      <c r="E14" s="283" t="str">
        <f>+'Dec-Feb Basketball'!E3</f>
        <v>Feb</v>
      </c>
      <c r="F14" s="282"/>
      <c r="G14" s="345">
        <f>+'Dec-Feb Basketball'!E26</f>
        <v>10965</v>
      </c>
      <c r="H14" s="345"/>
      <c r="I14" s="345">
        <f>+'Dec-Feb Basketball'!E56</f>
        <v>12850</v>
      </c>
      <c r="J14" s="345"/>
      <c r="K14" s="345">
        <f t="shared" si="0"/>
        <v>-1885</v>
      </c>
      <c r="L14" s="332"/>
      <c r="M14" s="347">
        <f>+K14/G14</f>
        <v>-0.17191062471500229</v>
      </c>
      <c r="N14" s="317"/>
      <c r="O14" s="331">
        <f t="shared" si="1"/>
        <v>1885</v>
      </c>
      <c r="P14" s="332"/>
      <c r="Q14" s="333">
        <f>+O14/S14</f>
        <v>9.150485436893204</v>
      </c>
      <c r="R14" s="317"/>
      <c r="S14" s="356">
        <f>+'Dec-Feb Basketball'!B21</f>
        <v>206</v>
      </c>
      <c r="T14" s="282"/>
      <c r="U14" s="345">
        <f>+'Dec-Feb Basketball'!E8</f>
        <v>53.228155339805824</v>
      </c>
      <c r="V14" s="282"/>
      <c r="W14" s="345">
        <f>+'Dec-Feb Basketball'!E9</f>
        <v>62.378640776699029</v>
      </c>
      <c r="X14" s="322"/>
      <c r="Y14" s="333">
        <f>+'Dec-Feb Basketball'!E11</f>
        <v>-9.150485436893204</v>
      </c>
    </row>
    <row r="15" spans="1:25" x14ac:dyDescent="0.25">
      <c r="A15" s="5" t="s">
        <v>233</v>
      </c>
      <c r="C15" s="342" t="str">
        <f>+'Jun-Adult Volleyball'!D3</f>
        <v>Jun</v>
      </c>
      <c r="D15" s="283"/>
      <c r="E15" s="283" t="str">
        <f>+'Jun-Adult Volleyball'!E3</f>
        <v>Jun</v>
      </c>
      <c r="F15" s="282"/>
      <c r="G15" s="345">
        <f>+'Jun-Adult Volleyball'!E26</f>
        <v>1960</v>
      </c>
      <c r="H15" s="345"/>
      <c r="I15" s="345">
        <f>+'Jun-Adult Volleyball'!E55</f>
        <v>1840</v>
      </c>
      <c r="J15" s="345"/>
      <c r="K15" s="345">
        <f>+G15-I15</f>
        <v>120</v>
      </c>
      <c r="L15" s="332"/>
      <c r="M15" s="347">
        <f>+K15/G15</f>
        <v>6.1224489795918366E-2</v>
      </c>
      <c r="N15" s="317"/>
      <c r="O15" s="331">
        <f t="shared" si="1"/>
        <v>0</v>
      </c>
      <c r="P15" s="332"/>
      <c r="Q15" s="333">
        <f>+O15/S15</f>
        <v>0</v>
      </c>
      <c r="R15" s="317"/>
      <c r="S15" s="356">
        <f>+'Jun-Adult Volleyball'!B21</f>
        <v>48</v>
      </c>
      <c r="T15" s="282"/>
      <c r="U15" s="345">
        <f>+'Jun-Adult Volleyball'!E8</f>
        <v>40.833333333333336</v>
      </c>
      <c r="V15" s="282"/>
      <c r="W15" s="345">
        <f>+'Jun-Adult Volleyball'!E9</f>
        <v>38.333333333333336</v>
      </c>
      <c r="X15" s="322"/>
      <c r="Y15" s="333">
        <f>+'Jun-Adult Volleyball'!E11</f>
        <v>2.5</v>
      </c>
    </row>
    <row r="16" spans="1:25" x14ac:dyDescent="0.25">
      <c r="A16" s="5" t="str">
        <f>+'Jun-Basketball Camp'!A1</f>
        <v>Basketball Camp</v>
      </c>
      <c r="C16" s="342" t="str">
        <f>+'Jun-Basketball Camp'!D3</f>
        <v>Jun</v>
      </c>
      <c r="D16" s="283"/>
      <c r="E16" s="283" t="str">
        <f>+'Jun-Basketball Camp'!E3</f>
        <v>Jun</v>
      </c>
      <c r="F16" s="282"/>
      <c r="G16" s="345">
        <f>+'Jun-Basketball Camp'!E26</f>
        <v>8870</v>
      </c>
      <c r="H16" s="345"/>
      <c r="I16" s="345">
        <f>+'Jun-Basketball Camp'!E57</f>
        <v>8869.81</v>
      </c>
      <c r="J16" s="345"/>
      <c r="K16" s="345">
        <f>+G16-I16</f>
        <v>0.19000000000050932</v>
      </c>
      <c r="L16" s="332"/>
      <c r="M16" s="347">
        <f>+K16/G16</f>
        <v>2.1420518602086732E-5</v>
      </c>
      <c r="N16" s="317"/>
      <c r="O16" s="331">
        <f t="shared" si="1"/>
        <v>0</v>
      </c>
      <c r="P16" s="332"/>
      <c r="Q16" s="333">
        <f>+O16/S16</f>
        <v>0</v>
      </c>
      <c r="R16" s="317"/>
      <c r="S16" s="356">
        <f>+'Jun-Basketball Camp'!B21</f>
        <v>94</v>
      </c>
      <c r="T16" s="282"/>
      <c r="U16" s="345">
        <f>+'Jun-Basketball Camp'!E8</f>
        <v>94.361702127659569</v>
      </c>
      <c r="V16" s="282"/>
      <c r="W16" s="345">
        <f>+'Jun-Basketball Camp'!E9</f>
        <v>94.359680851063828</v>
      </c>
      <c r="X16" s="322"/>
      <c r="Y16" s="333">
        <f>+'Jun-Basketball Camp'!E11</f>
        <v>2.0212765957500992E-3</v>
      </c>
    </row>
    <row r="17" spans="1:25" x14ac:dyDescent="0.25">
      <c r="A17" s="5" t="str">
        <f>+'Nov 3on3 Basketball'!A1</f>
        <v>3on3 Basketball</v>
      </c>
      <c r="C17" s="342" t="str">
        <f>+'Nov 3on3 Basketball'!D3</f>
        <v>Nov</v>
      </c>
      <c r="D17" s="283"/>
      <c r="E17" s="283" t="str">
        <f>+'Nov 3on3 Basketball'!E3</f>
        <v>Nov</v>
      </c>
      <c r="F17" s="282"/>
      <c r="G17" s="345">
        <f>+'Nov 3on3 Basketball'!E26</f>
        <v>1380</v>
      </c>
      <c r="H17" s="345"/>
      <c r="I17" s="345">
        <f>+'Nov 3on3 Basketball'!E55</f>
        <v>1540</v>
      </c>
      <c r="J17" s="345"/>
      <c r="K17" s="345">
        <f>+G17-I17</f>
        <v>-160</v>
      </c>
      <c r="L17" s="332"/>
      <c r="M17" s="347">
        <f>+K17/G17</f>
        <v>-0.11594202898550725</v>
      </c>
      <c r="N17" s="317"/>
      <c r="O17" s="331">
        <f t="shared" si="1"/>
        <v>160</v>
      </c>
      <c r="P17" s="332"/>
      <c r="Q17" s="333">
        <f>+O17/S17</f>
        <v>2.5</v>
      </c>
      <c r="R17" s="317"/>
      <c r="S17" s="356">
        <f>+'Nov 3on3 Basketball'!B21</f>
        <v>64</v>
      </c>
      <c r="T17" s="282"/>
      <c r="U17" s="345">
        <f>+'Nov 3on3 Basketball'!E8</f>
        <v>21.5625</v>
      </c>
      <c r="V17" s="282"/>
      <c r="W17" s="345">
        <f>+'Nov 3on3 Basketball'!E9</f>
        <v>24.0625</v>
      </c>
      <c r="X17" s="322"/>
      <c r="Y17" s="333">
        <f>+'Nov 3on3 Basketball'!E11</f>
        <v>-2.5</v>
      </c>
    </row>
    <row r="18" spans="1:25" x14ac:dyDescent="0.25">
      <c r="A18" s="5" t="str">
        <f>+'Jul-Sep Tackle Football'!A1</f>
        <v>Tackle Football</v>
      </c>
      <c r="C18" s="342" t="str">
        <f>+'Jul-Sep Tackle Football'!D3</f>
        <v>Jul</v>
      </c>
      <c r="D18" s="283"/>
      <c r="E18" s="283" t="str">
        <f>+'Jul-Sep Tackle Football'!E3</f>
        <v>Sep</v>
      </c>
      <c r="F18" s="282"/>
      <c r="G18" s="345">
        <f>+'Jul-Sep Tackle Football'!E26</f>
        <v>5815</v>
      </c>
      <c r="H18" s="345"/>
      <c r="I18" s="345">
        <f>+'Jul-Sep Tackle Football'!E56</f>
        <v>7388</v>
      </c>
      <c r="J18" s="345"/>
      <c r="K18" s="345">
        <f>+G18-I18</f>
        <v>-1573</v>
      </c>
      <c r="L18" s="332"/>
      <c r="M18" s="347">
        <f>+K18/G18</f>
        <v>-0.27050730868443679</v>
      </c>
      <c r="N18" s="317"/>
      <c r="O18" s="331">
        <f t="shared" ref="O18" si="2">IF(K18&gt;0,0,-K18)</f>
        <v>1573</v>
      </c>
      <c r="P18" s="332"/>
      <c r="Q18" s="333">
        <f>+O18/S18</f>
        <v>21.547945205479451</v>
      </c>
      <c r="R18" s="317"/>
      <c r="S18" s="356">
        <f>+'Jul-Sep Tackle Football'!B21</f>
        <v>73</v>
      </c>
      <c r="T18" s="282"/>
      <c r="U18" s="345">
        <f>+'Jul-Sep Tackle Football'!E8</f>
        <v>79.657534246575338</v>
      </c>
      <c r="V18" s="282"/>
      <c r="W18" s="345">
        <f>+'Jul-Sep Tackle Football'!E9</f>
        <v>101.20547945205479</v>
      </c>
      <c r="X18" s="322"/>
      <c r="Y18" s="333">
        <f>+'Jul-Sep Tackle Football'!E11</f>
        <v>-21.547945205479451</v>
      </c>
    </row>
    <row r="19" spans="1:25" ht="6" customHeight="1" x14ac:dyDescent="0.25">
      <c r="C19" s="324"/>
      <c r="D19" s="282"/>
      <c r="E19" s="282"/>
      <c r="F19" s="282"/>
      <c r="G19" s="313"/>
      <c r="H19" s="343"/>
      <c r="I19" s="314"/>
      <c r="J19" s="343"/>
      <c r="K19" s="315"/>
      <c r="L19" s="282"/>
      <c r="M19" s="348"/>
      <c r="O19" s="324"/>
      <c r="P19" s="282"/>
      <c r="Q19" s="325"/>
      <c r="S19" s="357"/>
      <c r="T19" s="282"/>
      <c r="U19" s="316"/>
      <c r="V19" s="282"/>
      <c r="W19" s="316"/>
      <c r="X19" s="282"/>
      <c r="Y19" s="335"/>
    </row>
    <row r="20" spans="1:25" s="5" customFormat="1" x14ac:dyDescent="0.25">
      <c r="C20" s="354"/>
      <c r="D20" s="355"/>
      <c r="E20" s="355"/>
      <c r="F20" s="349"/>
      <c r="G20" s="350">
        <f>SUBTOTAL(9,G6:G19)</f>
        <v>65325.42</v>
      </c>
      <c r="H20" s="351"/>
      <c r="I20" s="350">
        <f>SUBTOTAL(9,I6:I19)</f>
        <v>66461.31</v>
      </c>
      <c r="J20" s="351"/>
      <c r="K20" s="350">
        <f>SUBTOTAL(9,K6:K19)</f>
        <v>-1135.8899999999994</v>
      </c>
      <c r="L20" s="316"/>
      <c r="M20" s="352">
        <f>+K20/G20</f>
        <v>-1.738817752721681E-2</v>
      </c>
      <c r="N20"/>
      <c r="O20" s="334"/>
      <c r="P20" s="316"/>
      <c r="Q20" s="335"/>
      <c r="S20" s="358">
        <f>SUM(S8:S19)</f>
        <v>1138</v>
      </c>
      <c r="T20" s="326"/>
      <c r="U20" s="378">
        <f>+G20/S20</f>
        <v>57.403708260105446</v>
      </c>
      <c r="V20" s="326"/>
      <c r="W20" s="378">
        <f>+I20/S20</f>
        <v>58.401854130052719</v>
      </c>
      <c r="X20" s="326"/>
      <c r="Y20" s="379">
        <f>+U20-W20</f>
        <v>-0.9981458699472725</v>
      </c>
    </row>
    <row r="21" spans="1:25" ht="15" customHeight="1" x14ac:dyDescent="0.25">
      <c r="A21" s="176"/>
      <c r="B21" s="176"/>
      <c r="C21" s="176"/>
      <c r="D21" s="176"/>
      <c r="E21" s="176"/>
      <c r="F21" s="176"/>
      <c r="G21" s="179"/>
      <c r="H21" s="176"/>
      <c r="I21" s="176"/>
      <c r="J21" s="176"/>
      <c r="K21" s="176"/>
      <c r="O21" s="176"/>
      <c r="Q21" s="176"/>
      <c r="R21" s="176"/>
      <c r="S21" s="176"/>
      <c r="T21" s="176"/>
      <c r="U21" s="176"/>
      <c r="V21" s="176"/>
      <c r="W21" s="176"/>
      <c r="X21" s="176"/>
      <c r="Y21" s="176"/>
    </row>
    <row r="22" spans="1:25" x14ac:dyDescent="0.25">
      <c r="A22" s="176"/>
      <c r="B22" s="176"/>
      <c r="C22" s="176"/>
      <c r="D22" s="176"/>
      <c r="E22" s="176"/>
      <c r="F22" s="176"/>
      <c r="G22" s="179"/>
      <c r="H22" s="176"/>
      <c r="I22" s="176"/>
      <c r="J22" s="176"/>
      <c r="K22" s="176"/>
      <c r="O22" s="176"/>
      <c r="Q22" s="176"/>
      <c r="R22" s="176"/>
      <c r="S22" s="176"/>
      <c r="T22" s="176"/>
      <c r="U22" s="176"/>
      <c r="V22" s="176"/>
      <c r="W22" s="176"/>
      <c r="X22" s="176"/>
      <c r="Y22" s="176"/>
    </row>
    <row r="24" spans="1:25" x14ac:dyDescent="0.25">
      <c r="G24"/>
      <c r="H24"/>
      <c r="I24"/>
    </row>
    <row r="25" spans="1:25" x14ac:dyDescent="0.25">
      <c r="G25"/>
      <c r="H25"/>
      <c r="I25"/>
    </row>
    <row r="26" spans="1:25" x14ac:dyDescent="0.25">
      <c r="G26"/>
      <c r="H26"/>
      <c r="I26"/>
    </row>
    <row r="27" spans="1:25" x14ac:dyDescent="0.25">
      <c r="G27"/>
      <c r="H27"/>
      <c r="I27"/>
    </row>
    <row r="28" spans="1:25" x14ac:dyDescent="0.25">
      <c r="A28" s="5"/>
    </row>
  </sheetData>
  <mergeCells count="3">
    <mergeCell ref="O4:Q4"/>
    <mergeCell ref="C4:M4"/>
    <mergeCell ref="S4:Y4"/>
  </mergeCells>
  <pageMargins left="0.25" right="0.25" top="0.75" bottom="0.75" header="0.3" footer="0.3"/>
  <pageSetup scale="6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78C93-225B-42B0-8600-6A61C19BB610}">
  <sheetPr>
    <tabColor rgb="FF513D8B"/>
  </sheetPr>
  <dimension ref="A1:Q112"/>
  <sheetViews>
    <sheetView workbookViewId="0">
      <selection activeCell="C17" sqref="C17:M21"/>
    </sheetView>
  </sheetViews>
  <sheetFormatPr defaultRowHeight="15" x14ac:dyDescent="0.25"/>
  <cols>
    <col min="2" max="2" width="26.28515625" bestFit="1" customWidth="1"/>
  </cols>
  <sheetData>
    <row r="1" spans="1:15" ht="18.75" x14ac:dyDescent="0.3">
      <c r="A1" s="20" t="s">
        <v>380</v>
      </c>
    </row>
    <row r="2" spans="1:15" ht="18.75" x14ac:dyDescent="0.3">
      <c r="A2" s="20"/>
    </row>
    <row r="3" spans="1:15" ht="19.5" thickBot="1" x14ac:dyDescent="0.35">
      <c r="A3" s="20"/>
    </row>
    <row r="4" spans="1:15" ht="19.5" thickBot="1" x14ac:dyDescent="0.35">
      <c r="A4" s="20"/>
      <c r="B4" s="387" t="s">
        <v>381</v>
      </c>
      <c r="C4" s="11" t="s">
        <v>373</v>
      </c>
      <c r="D4" s="11" t="s">
        <v>349</v>
      </c>
      <c r="E4" s="11" t="s">
        <v>324</v>
      </c>
      <c r="F4" s="11" t="s">
        <v>339</v>
      </c>
      <c r="G4" s="11" t="s">
        <v>227</v>
      </c>
      <c r="H4" s="11" t="s">
        <v>341</v>
      </c>
      <c r="I4" s="11" t="s">
        <v>362</v>
      </c>
      <c r="J4" s="11" t="s">
        <v>344</v>
      </c>
      <c r="K4" s="11" t="s">
        <v>346</v>
      </c>
      <c r="L4" s="11" t="s">
        <v>374</v>
      </c>
      <c r="M4" s="11" t="s">
        <v>296</v>
      </c>
      <c r="N4" s="11" t="s">
        <v>348</v>
      </c>
    </row>
    <row r="5" spans="1:15" ht="18.75" x14ac:dyDescent="0.3">
      <c r="A5" s="20"/>
    </row>
    <row r="6" spans="1:15" ht="18.75" x14ac:dyDescent="0.3">
      <c r="A6" s="20"/>
      <c r="B6" s="5" t="s">
        <v>16</v>
      </c>
      <c r="C6" s="388">
        <f ca="1">SUMIF($B$15:$B$112,$B6,C$15:C$112)</f>
        <v>566.66666666666663</v>
      </c>
      <c r="D6" s="388">
        <f t="shared" ref="D6:N10" ca="1" si="0">SUMIF($B$15:$B$112,$B6,D$15:D$112)</f>
        <v>566.66666666666663</v>
      </c>
      <c r="E6" s="388">
        <f t="shared" ca="1" si="0"/>
        <v>700</v>
      </c>
      <c r="F6" s="388">
        <f t="shared" ca="1" si="0"/>
        <v>550</v>
      </c>
      <c r="G6" s="388">
        <f t="shared" ca="1" si="0"/>
        <v>2050</v>
      </c>
      <c r="H6" s="388">
        <f t="shared" ca="1" si="0"/>
        <v>2200</v>
      </c>
      <c r="I6" s="388">
        <f t="shared" ca="1" si="0"/>
        <v>516.66666666666663</v>
      </c>
      <c r="J6" s="388">
        <f t="shared" ca="1" si="0"/>
        <v>611.66666666666663</v>
      </c>
      <c r="K6" s="388">
        <f t="shared" ca="1" si="0"/>
        <v>611.66666666666663</v>
      </c>
      <c r="L6" s="388">
        <f t="shared" ca="1" si="0"/>
        <v>0</v>
      </c>
      <c r="M6" s="388">
        <f t="shared" ca="1" si="0"/>
        <v>400</v>
      </c>
      <c r="N6" s="388">
        <f t="shared" ca="1" si="0"/>
        <v>566.66666666666663</v>
      </c>
      <c r="O6" s="389">
        <f ca="1">SUM(C6:N6)</f>
        <v>9340</v>
      </c>
    </row>
    <row r="7" spans="1:15" ht="18.75" x14ac:dyDescent="0.3">
      <c r="A7" s="20"/>
      <c r="B7" s="5" t="s">
        <v>18</v>
      </c>
      <c r="C7" s="388">
        <f t="shared" ref="C7:N10" ca="1" si="1">SUMIF($B$15:$B$112,$B7,C$15:C$112)</f>
        <v>0</v>
      </c>
      <c r="D7" s="388">
        <f t="shared" ca="1" si="0"/>
        <v>1800</v>
      </c>
      <c r="E7" s="388">
        <f t="shared" ca="1" si="0"/>
        <v>1000</v>
      </c>
      <c r="F7" s="388">
        <f t="shared" ca="1" si="0"/>
        <v>4472</v>
      </c>
      <c r="G7" s="388">
        <f t="shared" ca="1" si="0"/>
        <v>3600</v>
      </c>
      <c r="H7" s="388">
        <f t="shared" ca="1" si="0"/>
        <v>7575</v>
      </c>
      <c r="I7" s="388">
        <f t="shared" ca="1" si="0"/>
        <v>1500</v>
      </c>
      <c r="J7" s="388">
        <f t="shared" ca="1" si="0"/>
        <v>598.5</v>
      </c>
      <c r="K7" s="388">
        <f t="shared" ca="1" si="0"/>
        <v>0</v>
      </c>
      <c r="L7" s="388">
        <f t="shared" ca="1" si="0"/>
        <v>0</v>
      </c>
      <c r="M7" s="388">
        <f t="shared" ca="1" si="0"/>
        <v>500</v>
      </c>
      <c r="N7" s="388">
        <f t="shared" ca="1" si="0"/>
        <v>0</v>
      </c>
      <c r="O7" s="389">
        <f t="shared" ref="O7:O10" ca="1" si="2">SUM(C7:N7)</f>
        <v>21045.5</v>
      </c>
    </row>
    <row r="8" spans="1:15" ht="18.75" x14ac:dyDescent="0.3">
      <c r="A8" s="20"/>
      <c r="B8" s="5" t="s">
        <v>20</v>
      </c>
      <c r="C8" s="388">
        <f t="shared" ca="1" si="1"/>
        <v>0</v>
      </c>
      <c r="D8" s="388">
        <f t="shared" ca="1" si="0"/>
        <v>900</v>
      </c>
      <c r="E8" s="388">
        <f t="shared" ca="1" si="0"/>
        <v>0</v>
      </c>
      <c r="F8" s="388">
        <f t="shared" ca="1" si="0"/>
        <v>0</v>
      </c>
      <c r="G8" s="388">
        <f t="shared" ca="1" si="0"/>
        <v>500</v>
      </c>
      <c r="H8" s="388">
        <f t="shared" ca="1" si="0"/>
        <v>0</v>
      </c>
      <c r="I8" s="388">
        <f t="shared" ca="1" si="0"/>
        <v>600</v>
      </c>
      <c r="J8" s="388">
        <f t="shared" ca="1" si="0"/>
        <v>365</v>
      </c>
      <c r="K8" s="388">
        <f t="shared" ca="1" si="0"/>
        <v>0</v>
      </c>
      <c r="L8" s="388">
        <f t="shared" ca="1" si="0"/>
        <v>0</v>
      </c>
      <c r="M8" s="388">
        <f t="shared" ca="1" si="0"/>
        <v>0</v>
      </c>
      <c r="N8" s="388">
        <f t="shared" ca="1" si="0"/>
        <v>0</v>
      </c>
      <c r="O8" s="389">
        <f t="shared" ca="1" si="2"/>
        <v>2365</v>
      </c>
    </row>
    <row r="9" spans="1:15" ht="18.75" x14ac:dyDescent="0.3">
      <c r="A9" s="20"/>
      <c r="B9" s="5" t="s">
        <v>24</v>
      </c>
      <c r="C9" s="388">
        <f t="shared" ca="1" si="1"/>
        <v>0</v>
      </c>
      <c r="D9" s="388">
        <f t="shared" ca="1" si="0"/>
        <v>0</v>
      </c>
      <c r="E9" s="388">
        <f t="shared" ca="1" si="0"/>
        <v>840</v>
      </c>
      <c r="F9" s="388">
        <f t="shared" ca="1" si="0"/>
        <v>2880</v>
      </c>
      <c r="G9" s="388">
        <f t="shared" ca="1" si="0"/>
        <v>6400</v>
      </c>
      <c r="H9" s="388">
        <f t="shared" ca="1" si="0"/>
        <v>1584.81</v>
      </c>
      <c r="I9" s="388">
        <f t="shared" ca="1" si="0"/>
        <v>2338</v>
      </c>
      <c r="J9" s="388">
        <f t="shared" ca="1" si="0"/>
        <v>722</v>
      </c>
      <c r="K9" s="388">
        <f t="shared" ca="1" si="0"/>
        <v>0</v>
      </c>
      <c r="L9" s="388">
        <f t="shared" ca="1" si="0"/>
        <v>0</v>
      </c>
      <c r="M9" s="388">
        <f t="shared" ca="1" si="0"/>
        <v>640</v>
      </c>
      <c r="N9" s="388">
        <f t="shared" ca="1" si="0"/>
        <v>7000</v>
      </c>
      <c r="O9" s="389">
        <f t="shared" ca="1" si="2"/>
        <v>22404.809999999998</v>
      </c>
    </row>
    <row r="10" spans="1:15" ht="18.75" x14ac:dyDescent="0.3">
      <c r="A10" s="20"/>
      <c r="B10" s="5" t="s">
        <v>30</v>
      </c>
      <c r="C10" s="388">
        <f t="shared" ca="1" si="1"/>
        <v>0</v>
      </c>
      <c r="D10" s="388">
        <f t="shared" ca="1" si="0"/>
        <v>0</v>
      </c>
      <c r="E10" s="388">
        <f t="shared" ca="1" si="0"/>
        <v>250</v>
      </c>
      <c r="F10" s="388">
        <f t="shared" ca="1" si="0"/>
        <v>1810</v>
      </c>
      <c r="G10" s="388">
        <f t="shared" ca="1" si="0"/>
        <v>5126</v>
      </c>
      <c r="H10" s="388">
        <f t="shared" ca="1" si="0"/>
        <v>850</v>
      </c>
      <c r="I10" s="388">
        <f t="shared" ca="1" si="0"/>
        <v>1400</v>
      </c>
      <c r="J10" s="388">
        <f t="shared" ca="1" si="0"/>
        <v>420</v>
      </c>
      <c r="K10" s="388">
        <f t="shared" ca="1" si="0"/>
        <v>0</v>
      </c>
      <c r="L10" s="388">
        <f t="shared" ca="1" si="0"/>
        <v>0</v>
      </c>
      <c r="M10" s="388">
        <f t="shared" ca="1" si="0"/>
        <v>0</v>
      </c>
      <c r="N10" s="388">
        <f t="shared" ca="1" si="0"/>
        <v>1450</v>
      </c>
      <c r="O10" s="389">
        <f t="shared" ca="1" si="2"/>
        <v>11306</v>
      </c>
    </row>
    <row r="11" spans="1:15" ht="18.75" x14ac:dyDescent="0.3">
      <c r="A11" s="20"/>
      <c r="B11" s="5" t="s">
        <v>3</v>
      </c>
      <c r="C11" s="390">
        <f ca="1">SUBTOTAL(9,C6:C10)</f>
        <v>566.66666666666663</v>
      </c>
      <c r="D11" s="390">
        <f t="shared" ref="D11" ca="1" si="3">SUBTOTAL(9,D6:D10)</f>
        <v>3266.6666666666665</v>
      </c>
      <c r="E11" s="390">
        <f t="shared" ref="E11" ca="1" si="4">SUBTOTAL(9,E6:E10)</f>
        <v>2790</v>
      </c>
      <c r="F11" s="390">
        <f t="shared" ref="F11" ca="1" si="5">SUBTOTAL(9,F6:F10)</f>
        <v>9712</v>
      </c>
      <c r="G11" s="390">
        <f t="shared" ref="G11" ca="1" si="6">SUBTOTAL(9,G6:G10)</f>
        <v>17676</v>
      </c>
      <c r="H11" s="390">
        <f t="shared" ref="H11" ca="1" si="7">SUBTOTAL(9,H6:H10)</f>
        <v>12209.81</v>
      </c>
      <c r="I11" s="390">
        <f t="shared" ref="I11" ca="1" si="8">SUBTOTAL(9,I6:I10)</f>
        <v>6354.6666666666661</v>
      </c>
      <c r="J11" s="390">
        <f t="shared" ref="J11" ca="1" si="9">SUBTOTAL(9,J6:J10)</f>
        <v>2717.1666666666665</v>
      </c>
      <c r="K11" s="390">
        <f t="shared" ref="K11" ca="1" si="10">SUBTOTAL(9,K6:K10)</f>
        <v>611.66666666666663</v>
      </c>
      <c r="L11" s="390">
        <f t="shared" ref="L11" ca="1" si="11">SUBTOTAL(9,L6:L10)</f>
        <v>0</v>
      </c>
      <c r="M11" s="390">
        <f t="shared" ref="M11" ca="1" si="12">SUBTOTAL(9,M6:M10)</f>
        <v>1540</v>
      </c>
      <c r="N11" s="390">
        <f t="shared" ref="N11" ca="1" si="13">SUBTOTAL(9,N6:N10)</f>
        <v>9016.6666666666679</v>
      </c>
      <c r="O11" s="391">
        <f ca="1">SUM(C11:N11)</f>
        <v>66461.309999999983</v>
      </c>
    </row>
    <row r="12" spans="1:15" ht="18.75" x14ac:dyDescent="0.3">
      <c r="A12" s="20"/>
      <c r="C12" s="392"/>
      <c r="D12" s="392"/>
      <c r="E12" s="392"/>
      <c r="F12" s="392"/>
      <c r="G12" s="392"/>
      <c r="H12" s="392"/>
      <c r="I12" s="392"/>
      <c r="J12" s="392"/>
      <c r="K12" s="392"/>
      <c r="L12" s="392"/>
      <c r="M12" s="392"/>
      <c r="N12" s="392"/>
      <c r="O12" s="392"/>
    </row>
    <row r="13" spans="1:15" ht="18.75" x14ac:dyDescent="0.3">
      <c r="A13" s="20"/>
      <c r="C13" s="392"/>
      <c r="D13" s="392"/>
      <c r="E13" s="392"/>
      <c r="F13" s="392"/>
      <c r="G13" s="392"/>
      <c r="H13" s="392"/>
      <c r="I13" s="392"/>
      <c r="J13" s="392"/>
      <c r="K13" s="392"/>
      <c r="L13" s="392"/>
      <c r="M13" s="392"/>
      <c r="N13" s="392"/>
      <c r="O13" s="392"/>
    </row>
    <row r="14" spans="1:15" ht="19.5" thickBot="1" x14ac:dyDescent="0.35">
      <c r="A14" s="20"/>
      <c r="C14" s="392"/>
      <c r="D14" s="392"/>
      <c r="E14" s="392"/>
      <c r="F14" s="392"/>
      <c r="G14" s="392"/>
      <c r="H14" s="392"/>
      <c r="I14" s="392"/>
      <c r="J14" s="392"/>
      <c r="K14" s="392"/>
      <c r="L14" s="392"/>
      <c r="M14" s="392"/>
      <c r="N14" s="392"/>
      <c r="O14" s="392"/>
    </row>
    <row r="15" spans="1:15" ht="19.5" thickBot="1" x14ac:dyDescent="0.35">
      <c r="A15" s="20"/>
      <c r="B15" s="387" t="s">
        <v>381</v>
      </c>
      <c r="C15" s="389" t="s">
        <v>373</v>
      </c>
      <c r="D15" s="389" t="s">
        <v>349</v>
      </c>
      <c r="E15" s="389" t="s">
        <v>324</v>
      </c>
      <c r="F15" s="389" t="s">
        <v>339</v>
      </c>
      <c r="G15" s="389" t="s">
        <v>227</v>
      </c>
      <c r="H15" s="389" t="s">
        <v>341</v>
      </c>
      <c r="I15" s="389" t="s">
        <v>362</v>
      </c>
      <c r="J15" s="389" t="s">
        <v>344</v>
      </c>
      <c r="K15" s="389" t="s">
        <v>346</v>
      </c>
      <c r="L15" s="389" t="s">
        <v>374</v>
      </c>
      <c r="M15" s="389" t="s">
        <v>296</v>
      </c>
      <c r="N15" s="389" t="s">
        <v>348</v>
      </c>
      <c r="O15" s="392"/>
    </row>
    <row r="16" spans="1:15" x14ac:dyDescent="0.25">
      <c r="C16" s="392"/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</row>
    <row r="17" spans="2:15" x14ac:dyDescent="0.25">
      <c r="B17" s="5" t="s">
        <v>16</v>
      </c>
      <c r="C17" s="388">
        <f ca="1">INDEX(INDIRECT("'"&amp;$B$15&amp;"'!$A$78:$G$90"),MATCH(C$15,'Mar Youth Volleyball'!$A$78:$A$90,0),MATCH($B17,'Mar Youth Volleyball'!$A$78:$G$78,0))</f>
        <v>0</v>
      </c>
      <c r="D17" s="388">
        <f ca="1">INDEX(INDIRECT("'"&amp;$B$15&amp;"'!$A$78:$G$90"),MATCH(D$15,'Mar Youth Volleyball'!$A$78:$A$90,0),MATCH($B17,'Mar Youth Volleyball'!$A$78:$G$78,0))</f>
        <v>0</v>
      </c>
      <c r="E17" s="388">
        <f ca="1">INDEX(INDIRECT("'"&amp;$B$15&amp;"'!$A$78:$G$90"),MATCH(E$15,'Mar Youth Volleyball'!$A$78:$A$90,0),MATCH($B17,'Mar Youth Volleyball'!$A$78:$G$78,0))</f>
        <v>700</v>
      </c>
      <c r="F17" s="388">
        <f ca="1">INDEX(INDIRECT("'"&amp;$B$15&amp;"'!$A$78:$G$90"),MATCH(F$15,'Mar Youth Volleyball'!$A$78:$A$90,0),MATCH($B17,'Mar Youth Volleyball'!$A$78:$G$78,0))</f>
        <v>0</v>
      </c>
      <c r="G17" s="388">
        <f ca="1">INDEX(INDIRECT("'"&amp;$B$15&amp;"'!$A$78:$G$90"),MATCH(G$15,'Mar Youth Volleyball'!$A$78:$A$90,0),MATCH($B17,'Mar Youth Volleyball'!$A$78:$G$78,0))</f>
        <v>0</v>
      </c>
      <c r="H17" s="388">
        <f ca="1">INDEX(INDIRECT("'"&amp;$B$15&amp;"'!$A$78:$G$90"),MATCH(H$15,'Mar Youth Volleyball'!$A$78:$A$90,0),MATCH($B17,'Mar Youth Volleyball'!$A$78:$G$78,0))</f>
        <v>0</v>
      </c>
      <c r="I17" s="388">
        <f ca="1">INDEX(INDIRECT("'"&amp;$B$15&amp;"'!$A$78:$G$90"),MATCH(I$15,'Mar Youth Volleyball'!$A$78:$A$90,0),MATCH($B17,'Mar Youth Volleyball'!$A$78:$G$78,0))</f>
        <v>0</v>
      </c>
      <c r="J17" s="388">
        <f ca="1">INDEX(INDIRECT("'"&amp;$B$15&amp;"'!$A$78:$G$90"),MATCH(J$15,'Mar Youth Volleyball'!$A$78:$A$90,0),MATCH($B17,'Mar Youth Volleyball'!$A$78:$G$78,0))</f>
        <v>0</v>
      </c>
      <c r="K17" s="388">
        <f ca="1">INDEX(INDIRECT("'"&amp;$B$15&amp;"'!$A$78:$G$90"),MATCH(K$15,'Mar Youth Volleyball'!$A$78:$A$90,0),MATCH($B17,'Mar Youth Volleyball'!$A$78:$G$78,0))</f>
        <v>0</v>
      </c>
      <c r="L17" s="388">
        <f ca="1">INDEX(INDIRECT("'"&amp;$B$15&amp;"'!$A$78:$G$90"),MATCH(L$15,'Mar Youth Volleyball'!$A$78:$A$90,0),MATCH($B17,'Mar Youth Volleyball'!$A$78:$G$78,0))</f>
        <v>0</v>
      </c>
      <c r="M17" s="388">
        <f ca="1">INDEX(INDIRECT("'"&amp;$B$15&amp;"'!$A$78:$G$90"),MATCH(M$15,'Mar Youth Volleyball'!$A$78:$A$90,0),MATCH($B17,'Mar Youth Volleyball'!$A$78:$G$78,0))</f>
        <v>0</v>
      </c>
      <c r="N17" s="388">
        <f ca="1">INDEX(INDIRECT("'"&amp;$B$15&amp;"'!$A$78:$G$90"),MATCH(N$15,'Mar Youth Volleyball'!$A$78:$A$90,0),MATCH($B17,'Mar Youth Volleyball'!$A$78:$G$78,0))</f>
        <v>0</v>
      </c>
      <c r="O17" s="392"/>
    </row>
    <row r="18" spans="2:15" x14ac:dyDescent="0.25">
      <c r="B18" s="5" t="s">
        <v>18</v>
      </c>
      <c r="C18" s="388">
        <f ca="1">INDEX(INDIRECT("'"&amp;$B$15&amp;"'!$A$78:$G$90"),MATCH(C$15,'Mar Youth Volleyball'!$A$78:$A$90,0),MATCH($B18,'Mar Youth Volleyball'!$A$78:$G$78,0))</f>
        <v>0</v>
      </c>
      <c r="D18" s="388">
        <f ca="1">INDEX(INDIRECT("'"&amp;$B$15&amp;"'!$A$78:$G$90"),MATCH(D$15,'Mar Youth Volleyball'!$A$78:$A$90,0),MATCH($B18,'Mar Youth Volleyball'!$A$78:$G$78,0))</f>
        <v>0</v>
      </c>
      <c r="E18" s="388">
        <f ca="1">INDEX(INDIRECT("'"&amp;$B$15&amp;"'!$A$78:$G$90"),MATCH(E$15,'Mar Youth Volleyball'!$A$78:$A$90,0),MATCH($B18,'Mar Youth Volleyball'!$A$78:$G$78,0))</f>
        <v>1000</v>
      </c>
      <c r="F18" s="388">
        <f ca="1">INDEX(INDIRECT("'"&amp;$B$15&amp;"'!$A$78:$G$90"),MATCH(F$15,'Mar Youth Volleyball'!$A$78:$A$90,0),MATCH($B18,'Mar Youth Volleyball'!$A$78:$G$78,0))</f>
        <v>0</v>
      </c>
      <c r="G18" s="388">
        <f ca="1">INDEX(INDIRECT("'"&amp;$B$15&amp;"'!$A$78:$G$90"),MATCH(G$15,'Mar Youth Volleyball'!$A$78:$A$90,0),MATCH($B18,'Mar Youth Volleyball'!$A$78:$G$78,0))</f>
        <v>0</v>
      </c>
      <c r="H18" s="388">
        <f ca="1">INDEX(INDIRECT("'"&amp;$B$15&amp;"'!$A$78:$G$90"),MATCH(H$15,'Mar Youth Volleyball'!$A$78:$A$90,0),MATCH($B18,'Mar Youth Volleyball'!$A$78:$G$78,0))</f>
        <v>0</v>
      </c>
      <c r="I18" s="388">
        <f ca="1">INDEX(INDIRECT("'"&amp;$B$15&amp;"'!$A$78:$G$90"),MATCH(I$15,'Mar Youth Volleyball'!$A$78:$A$90,0),MATCH($B18,'Mar Youth Volleyball'!$A$78:$G$78,0))</f>
        <v>0</v>
      </c>
      <c r="J18" s="388">
        <f ca="1">INDEX(INDIRECT("'"&amp;$B$15&amp;"'!$A$78:$G$90"),MATCH(J$15,'Mar Youth Volleyball'!$A$78:$A$90,0),MATCH($B18,'Mar Youth Volleyball'!$A$78:$G$78,0))</f>
        <v>0</v>
      </c>
      <c r="K18" s="388">
        <f ca="1">INDEX(INDIRECT("'"&amp;$B$15&amp;"'!$A$78:$G$90"),MATCH(K$15,'Mar Youth Volleyball'!$A$78:$A$90,0),MATCH($B18,'Mar Youth Volleyball'!$A$78:$G$78,0))</f>
        <v>0</v>
      </c>
      <c r="L18" s="388">
        <f ca="1">INDEX(INDIRECT("'"&amp;$B$15&amp;"'!$A$78:$G$90"),MATCH(L$15,'Mar Youth Volleyball'!$A$78:$A$90,0),MATCH($B18,'Mar Youth Volleyball'!$A$78:$G$78,0))</f>
        <v>0</v>
      </c>
      <c r="M18" s="388">
        <f ca="1">INDEX(INDIRECT("'"&amp;$B$15&amp;"'!$A$78:$G$90"),MATCH(M$15,'Mar Youth Volleyball'!$A$78:$A$90,0),MATCH($B18,'Mar Youth Volleyball'!$A$78:$G$78,0))</f>
        <v>0</v>
      </c>
      <c r="N18" s="388">
        <f ca="1">INDEX(INDIRECT("'"&amp;$B$15&amp;"'!$A$78:$G$90"),MATCH(N$15,'Mar Youth Volleyball'!$A$78:$A$90,0),MATCH($B18,'Mar Youth Volleyball'!$A$78:$G$78,0))</f>
        <v>0</v>
      </c>
      <c r="O18" s="392"/>
    </row>
    <row r="19" spans="2:15" x14ac:dyDescent="0.25">
      <c r="B19" s="5" t="s">
        <v>20</v>
      </c>
      <c r="C19" s="388">
        <f ca="1">INDEX(INDIRECT("'"&amp;$B$15&amp;"'!$A$78:$G$90"),MATCH(C$15,'Mar Youth Volleyball'!$A$78:$A$90,0),MATCH($B19,'Mar Youth Volleyball'!$A$78:$G$78,0))</f>
        <v>0</v>
      </c>
      <c r="D19" s="388">
        <f ca="1">INDEX(INDIRECT("'"&amp;$B$15&amp;"'!$A$78:$G$90"),MATCH(D$15,'Mar Youth Volleyball'!$A$78:$A$90,0),MATCH($B19,'Mar Youth Volleyball'!$A$78:$G$78,0))</f>
        <v>0</v>
      </c>
      <c r="E19" s="388">
        <f ca="1">INDEX(INDIRECT("'"&amp;$B$15&amp;"'!$A$78:$G$90"),MATCH(E$15,'Mar Youth Volleyball'!$A$78:$A$90,0),MATCH($B19,'Mar Youth Volleyball'!$A$78:$G$78,0))</f>
        <v>0</v>
      </c>
      <c r="F19" s="388">
        <f ca="1">INDEX(INDIRECT("'"&amp;$B$15&amp;"'!$A$78:$G$90"),MATCH(F$15,'Mar Youth Volleyball'!$A$78:$A$90,0),MATCH($B19,'Mar Youth Volleyball'!$A$78:$G$78,0))</f>
        <v>0</v>
      </c>
      <c r="G19" s="388">
        <f ca="1">INDEX(INDIRECT("'"&amp;$B$15&amp;"'!$A$78:$G$90"),MATCH(G$15,'Mar Youth Volleyball'!$A$78:$A$90,0),MATCH($B19,'Mar Youth Volleyball'!$A$78:$G$78,0))</f>
        <v>0</v>
      </c>
      <c r="H19" s="388">
        <f ca="1">INDEX(INDIRECT("'"&amp;$B$15&amp;"'!$A$78:$G$90"),MATCH(H$15,'Mar Youth Volleyball'!$A$78:$A$90,0),MATCH($B19,'Mar Youth Volleyball'!$A$78:$G$78,0))</f>
        <v>0</v>
      </c>
      <c r="I19" s="388">
        <f ca="1">INDEX(INDIRECT("'"&amp;$B$15&amp;"'!$A$78:$G$90"),MATCH(I$15,'Mar Youth Volleyball'!$A$78:$A$90,0),MATCH($B19,'Mar Youth Volleyball'!$A$78:$G$78,0))</f>
        <v>0</v>
      </c>
      <c r="J19" s="388">
        <f ca="1">INDEX(INDIRECT("'"&amp;$B$15&amp;"'!$A$78:$G$90"),MATCH(J$15,'Mar Youth Volleyball'!$A$78:$A$90,0),MATCH($B19,'Mar Youth Volleyball'!$A$78:$G$78,0))</f>
        <v>0</v>
      </c>
      <c r="K19" s="388">
        <f ca="1">INDEX(INDIRECT("'"&amp;$B$15&amp;"'!$A$78:$G$90"),MATCH(K$15,'Mar Youth Volleyball'!$A$78:$A$90,0),MATCH($B19,'Mar Youth Volleyball'!$A$78:$G$78,0))</f>
        <v>0</v>
      </c>
      <c r="L19" s="388">
        <f ca="1">INDEX(INDIRECT("'"&amp;$B$15&amp;"'!$A$78:$G$90"),MATCH(L$15,'Mar Youth Volleyball'!$A$78:$A$90,0),MATCH($B19,'Mar Youth Volleyball'!$A$78:$G$78,0))</f>
        <v>0</v>
      </c>
      <c r="M19" s="388">
        <f ca="1">INDEX(INDIRECT("'"&amp;$B$15&amp;"'!$A$78:$G$90"),MATCH(M$15,'Mar Youth Volleyball'!$A$78:$A$90,0),MATCH($B19,'Mar Youth Volleyball'!$A$78:$G$78,0))</f>
        <v>0</v>
      </c>
      <c r="N19" s="388">
        <f ca="1">INDEX(INDIRECT("'"&amp;$B$15&amp;"'!$A$78:$G$90"),MATCH(N$15,'Mar Youth Volleyball'!$A$78:$A$90,0),MATCH($B19,'Mar Youth Volleyball'!$A$78:$G$78,0))</f>
        <v>0</v>
      </c>
      <c r="O19" s="392"/>
    </row>
    <row r="20" spans="2:15" x14ac:dyDescent="0.25">
      <c r="B20" s="5" t="s">
        <v>24</v>
      </c>
      <c r="C20" s="388">
        <f ca="1">INDEX(INDIRECT("'"&amp;$B$15&amp;"'!$A$78:$G$90"),MATCH(C$15,'Mar Youth Volleyball'!$A$78:$A$90,0),MATCH($B20,'Mar Youth Volleyball'!$A$78:$G$78,0))</f>
        <v>0</v>
      </c>
      <c r="D20" s="388">
        <f ca="1">INDEX(INDIRECT("'"&amp;$B$15&amp;"'!$A$78:$G$90"),MATCH(D$15,'Mar Youth Volleyball'!$A$78:$A$90,0),MATCH($B20,'Mar Youth Volleyball'!$A$78:$G$78,0))</f>
        <v>0</v>
      </c>
      <c r="E20" s="388">
        <f ca="1">INDEX(INDIRECT("'"&amp;$B$15&amp;"'!$A$78:$G$90"),MATCH(E$15,'Mar Youth Volleyball'!$A$78:$A$90,0),MATCH($B20,'Mar Youth Volleyball'!$A$78:$G$78,0))</f>
        <v>840</v>
      </c>
      <c r="F20" s="388">
        <f ca="1">INDEX(INDIRECT("'"&amp;$B$15&amp;"'!$A$78:$G$90"),MATCH(F$15,'Mar Youth Volleyball'!$A$78:$A$90,0),MATCH($B20,'Mar Youth Volleyball'!$A$78:$G$78,0))</f>
        <v>0</v>
      </c>
      <c r="G20" s="388">
        <f ca="1">INDEX(INDIRECT("'"&amp;$B$15&amp;"'!$A$78:$G$90"),MATCH(G$15,'Mar Youth Volleyball'!$A$78:$A$90,0),MATCH($B20,'Mar Youth Volleyball'!$A$78:$G$78,0))</f>
        <v>0</v>
      </c>
      <c r="H20" s="388">
        <f ca="1">INDEX(INDIRECT("'"&amp;$B$15&amp;"'!$A$78:$G$90"),MATCH(H$15,'Mar Youth Volleyball'!$A$78:$A$90,0),MATCH($B20,'Mar Youth Volleyball'!$A$78:$G$78,0))</f>
        <v>0</v>
      </c>
      <c r="I20" s="388">
        <f ca="1">INDEX(INDIRECT("'"&amp;$B$15&amp;"'!$A$78:$G$90"),MATCH(I$15,'Mar Youth Volleyball'!$A$78:$A$90,0),MATCH($B20,'Mar Youth Volleyball'!$A$78:$G$78,0))</f>
        <v>0</v>
      </c>
      <c r="J20" s="388">
        <f ca="1">INDEX(INDIRECT("'"&amp;$B$15&amp;"'!$A$78:$G$90"),MATCH(J$15,'Mar Youth Volleyball'!$A$78:$A$90,0),MATCH($B20,'Mar Youth Volleyball'!$A$78:$G$78,0))</f>
        <v>0</v>
      </c>
      <c r="K20" s="388">
        <f ca="1">INDEX(INDIRECT("'"&amp;$B$15&amp;"'!$A$78:$G$90"),MATCH(K$15,'Mar Youth Volleyball'!$A$78:$A$90,0),MATCH($B20,'Mar Youth Volleyball'!$A$78:$G$78,0))</f>
        <v>0</v>
      </c>
      <c r="L20" s="388">
        <f ca="1">INDEX(INDIRECT("'"&amp;$B$15&amp;"'!$A$78:$G$90"),MATCH(L$15,'Mar Youth Volleyball'!$A$78:$A$90,0),MATCH($B20,'Mar Youth Volleyball'!$A$78:$G$78,0))</f>
        <v>0</v>
      </c>
      <c r="M20" s="388">
        <f ca="1">INDEX(INDIRECT("'"&amp;$B$15&amp;"'!$A$78:$G$90"),MATCH(M$15,'Mar Youth Volleyball'!$A$78:$A$90,0),MATCH($B20,'Mar Youth Volleyball'!$A$78:$G$78,0))</f>
        <v>0</v>
      </c>
      <c r="N20" s="388">
        <f ca="1">INDEX(INDIRECT("'"&amp;$B$15&amp;"'!$A$78:$G$90"),MATCH(N$15,'Mar Youth Volleyball'!$A$78:$A$90,0),MATCH($B20,'Mar Youth Volleyball'!$A$78:$G$78,0))</f>
        <v>0</v>
      </c>
      <c r="O20" s="392"/>
    </row>
    <row r="21" spans="2:15" x14ac:dyDescent="0.25">
      <c r="B21" s="5" t="s">
        <v>30</v>
      </c>
      <c r="C21" s="388">
        <f ca="1">INDEX(INDIRECT("'"&amp;$B$15&amp;"'!$A$78:$G$90"),MATCH(C$15,'Mar Youth Volleyball'!$A$78:$A$90,0),MATCH($B21,'Mar Youth Volleyball'!$A$78:$G$78,0))</f>
        <v>0</v>
      </c>
      <c r="D21" s="388">
        <f ca="1">INDEX(INDIRECT("'"&amp;$B$15&amp;"'!$A$78:$G$90"),MATCH(D$15,'Mar Youth Volleyball'!$A$78:$A$90,0),MATCH($B21,'Mar Youth Volleyball'!$A$78:$G$78,0))</f>
        <v>0</v>
      </c>
      <c r="E21" s="388">
        <f ca="1">INDEX(INDIRECT("'"&amp;$B$15&amp;"'!$A$78:$G$90"),MATCH(E$15,'Mar Youth Volleyball'!$A$78:$A$90,0),MATCH($B21,'Mar Youth Volleyball'!$A$78:$G$78,0))</f>
        <v>250</v>
      </c>
      <c r="F21" s="388">
        <f ca="1">INDEX(INDIRECT("'"&amp;$B$15&amp;"'!$A$78:$G$90"),MATCH(F$15,'Mar Youth Volleyball'!$A$78:$A$90,0),MATCH($B21,'Mar Youth Volleyball'!$A$78:$G$78,0))</f>
        <v>0</v>
      </c>
      <c r="G21" s="388">
        <f ca="1">INDEX(INDIRECT("'"&amp;$B$15&amp;"'!$A$78:$G$90"),MATCH(G$15,'Mar Youth Volleyball'!$A$78:$A$90,0),MATCH($B21,'Mar Youth Volleyball'!$A$78:$G$78,0))</f>
        <v>0</v>
      </c>
      <c r="H21" s="388">
        <f ca="1">INDEX(INDIRECT("'"&amp;$B$15&amp;"'!$A$78:$G$90"),MATCH(H$15,'Mar Youth Volleyball'!$A$78:$A$90,0),MATCH($B21,'Mar Youth Volleyball'!$A$78:$G$78,0))</f>
        <v>0</v>
      </c>
      <c r="I21" s="388">
        <f ca="1">INDEX(INDIRECT("'"&amp;$B$15&amp;"'!$A$78:$G$90"),MATCH(I$15,'Mar Youth Volleyball'!$A$78:$A$90,0),MATCH($B21,'Mar Youth Volleyball'!$A$78:$G$78,0))</f>
        <v>0</v>
      </c>
      <c r="J21" s="388">
        <f ca="1">INDEX(INDIRECT("'"&amp;$B$15&amp;"'!$A$78:$G$90"),MATCH(J$15,'Mar Youth Volleyball'!$A$78:$A$90,0),MATCH($B21,'Mar Youth Volleyball'!$A$78:$G$78,0))</f>
        <v>0</v>
      </c>
      <c r="K21" s="388">
        <f ca="1">INDEX(INDIRECT("'"&amp;$B$15&amp;"'!$A$78:$G$90"),MATCH(K$15,'Mar Youth Volleyball'!$A$78:$A$90,0),MATCH($B21,'Mar Youth Volleyball'!$A$78:$G$78,0))</f>
        <v>0</v>
      </c>
      <c r="L21" s="388">
        <f ca="1">INDEX(INDIRECT("'"&amp;$B$15&amp;"'!$A$78:$G$90"),MATCH(L$15,'Mar Youth Volleyball'!$A$78:$A$90,0),MATCH($B21,'Mar Youth Volleyball'!$A$78:$G$78,0))</f>
        <v>0</v>
      </c>
      <c r="M21" s="388">
        <f ca="1">INDEX(INDIRECT("'"&amp;$B$15&amp;"'!$A$78:$G$90"),MATCH(M$15,'Mar Youth Volleyball'!$A$78:$A$90,0),MATCH($B21,'Mar Youth Volleyball'!$A$78:$G$78,0))</f>
        <v>0</v>
      </c>
      <c r="N21" s="388">
        <f ca="1">INDEX(INDIRECT("'"&amp;$B$15&amp;"'!$A$78:$G$90"),MATCH(N$15,'Mar Youth Volleyball'!$A$78:$A$90,0),MATCH($B21,'Mar Youth Volleyball'!$A$78:$G$78,0))</f>
        <v>0</v>
      </c>
      <c r="O21" s="392"/>
    </row>
    <row r="22" spans="2:15" x14ac:dyDescent="0.25">
      <c r="B22" s="5" t="s">
        <v>3</v>
      </c>
      <c r="C22" s="390">
        <f ca="1">SUBTOTAL(9,C17:C21)</f>
        <v>0</v>
      </c>
      <c r="D22" s="390">
        <f t="shared" ref="D22:N22" ca="1" si="14">SUBTOTAL(9,D17:D21)</f>
        <v>0</v>
      </c>
      <c r="E22" s="390">
        <f t="shared" ca="1" si="14"/>
        <v>2790</v>
      </c>
      <c r="F22" s="390">
        <f t="shared" ca="1" si="14"/>
        <v>0</v>
      </c>
      <c r="G22" s="390">
        <f t="shared" ca="1" si="14"/>
        <v>0</v>
      </c>
      <c r="H22" s="390">
        <f t="shared" ca="1" si="14"/>
        <v>0</v>
      </c>
      <c r="I22" s="390">
        <f t="shared" ca="1" si="14"/>
        <v>0</v>
      </c>
      <c r="J22" s="390">
        <f t="shared" ca="1" si="14"/>
        <v>0</v>
      </c>
      <c r="K22" s="390">
        <f t="shared" ca="1" si="14"/>
        <v>0</v>
      </c>
      <c r="L22" s="390">
        <f t="shared" ca="1" si="14"/>
        <v>0</v>
      </c>
      <c r="M22" s="390">
        <f t="shared" ca="1" si="14"/>
        <v>0</v>
      </c>
      <c r="N22" s="390">
        <f t="shared" ca="1" si="14"/>
        <v>0</v>
      </c>
      <c r="O22" s="392"/>
    </row>
    <row r="23" spans="2:15" ht="15.75" thickBot="1" x14ac:dyDescent="0.3">
      <c r="C23" s="392"/>
      <c r="D23" s="392"/>
      <c r="E23" s="392"/>
      <c r="F23" s="392"/>
      <c r="G23" s="392"/>
      <c r="H23" s="392"/>
      <c r="I23" s="392"/>
      <c r="J23" s="392"/>
      <c r="K23" s="392"/>
      <c r="L23" s="392"/>
      <c r="M23" s="392"/>
      <c r="N23" s="392"/>
      <c r="O23" s="392"/>
    </row>
    <row r="24" spans="2:15" ht="15.75" thickBot="1" x14ac:dyDescent="0.3">
      <c r="B24" s="387" t="s">
        <v>382</v>
      </c>
      <c r="C24" s="389" t="s">
        <v>373</v>
      </c>
      <c r="D24" s="389" t="s">
        <v>349</v>
      </c>
      <c r="E24" s="389" t="s">
        <v>324</v>
      </c>
      <c r="F24" s="389" t="s">
        <v>339</v>
      </c>
      <c r="G24" s="389" t="s">
        <v>227</v>
      </c>
      <c r="H24" s="389" t="s">
        <v>341</v>
      </c>
      <c r="I24" s="389" t="s">
        <v>362</v>
      </c>
      <c r="J24" s="389" t="s">
        <v>344</v>
      </c>
      <c r="K24" s="389" t="s">
        <v>346</v>
      </c>
      <c r="L24" s="389" t="s">
        <v>374</v>
      </c>
      <c r="M24" s="389" t="s">
        <v>296</v>
      </c>
      <c r="N24" s="389" t="s">
        <v>348</v>
      </c>
      <c r="O24" s="392"/>
    </row>
    <row r="25" spans="2:15" x14ac:dyDescent="0.25">
      <c r="C25" s="392"/>
      <c r="D25" s="39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92"/>
    </row>
    <row r="26" spans="2:15" x14ac:dyDescent="0.25">
      <c r="B26" s="5" t="s">
        <v>16</v>
      </c>
      <c r="C26" s="388">
        <f ca="1">INDEX(INDIRECT("'"&amp;$B$24&amp;"'!$A$78:$G$90"),MATCH(C$24,'Mar Youth Volleyball'!$A$78:$A$90,0),MATCH($B26,'Mar Youth Volleyball'!$A$78:$G$78,0))</f>
        <v>0</v>
      </c>
      <c r="D26" s="388">
        <f ca="1">INDEX(INDIRECT("'"&amp;$B$24&amp;"'!$A$78:$G$90"),MATCH(D$24,'Mar Youth Volleyball'!$A$78:$A$90,0),MATCH($B26,'Mar Youth Volleyball'!$A$78:$G$78,0))</f>
        <v>0</v>
      </c>
      <c r="E26" s="388">
        <f ca="1">INDEX(INDIRECT("'"&amp;$B$24&amp;"'!$A$78:$G$90"),MATCH(E$24,'Mar Youth Volleyball'!$A$78:$A$90,0),MATCH($B26,'Mar Youth Volleyball'!$A$78:$G$78,0))</f>
        <v>0</v>
      </c>
      <c r="F26" s="388">
        <f ca="1">INDEX(INDIRECT("'"&amp;$B$24&amp;"'!$A$78:$G$90"),MATCH(F$24,'Mar Youth Volleyball'!$A$78:$A$90,0),MATCH($B26,'Mar Youth Volleyball'!$A$78:$G$78,0))</f>
        <v>550</v>
      </c>
      <c r="G26" s="388">
        <f ca="1">INDEX(INDIRECT("'"&amp;$B$24&amp;"'!$A$78:$G$90"),MATCH(G$24,'Mar Youth Volleyball'!$A$78:$A$90,0),MATCH($B26,'Mar Youth Volleyball'!$A$78:$G$78,0))</f>
        <v>550</v>
      </c>
      <c r="H26" s="388">
        <f ca="1">INDEX(INDIRECT("'"&amp;$B$24&amp;"'!$A$78:$G$90"),MATCH(H$24,'Mar Youth Volleyball'!$A$78:$A$90,0),MATCH($B26,'Mar Youth Volleyball'!$A$78:$G$78,0))</f>
        <v>0</v>
      </c>
      <c r="I26" s="388">
        <f ca="1">INDEX(INDIRECT("'"&amp;$B$24&amp;"'!$A$78:$G$90"),MATCH(I$24,'Mar Youth Volleyball'!$A$78:$A$90,0),MATCH($B26,'Mar Youth Volleyball'!$A$78:$G$78,0))</f>
        <v>0</v>
      </c>
      <c r="J26" s="388">
        <f ca="1">INDEX(INDIRECT("'"&amp;$B$24&amp;"'!$A$78:$G$90"),MATCH(J$24,'Mar Youth Volleyball'!$A$78:$A$90,0),MATCH($B26,'Mar Youth Volleyball'!$A$78:$G$78,0))</f>
        <v>0</v>
      </c>
      <c r="K26" s="388">
        <f ca="1">INDEX(INDIRECT("'"&amp;$B$24&amp;"'!$A$78:$G$90"),MATCH(K$24,'Mar Youth Volleyball'!$A$78:$A$90,0),MATCH($B26,'Mar Youth Volleyball'!$A$78:$G$78,0))</f>
        <v>0</v>
      </c>
      <c r="L26" s="388">
        <f ca="1">INDEX(INDIRECT("'"&amp;$B$24&amp;"'!$A$78:$G$90"),MATCH(L$24,'Mar Youth Volleyball'!$A$78:$A$90,0),MATCH($B26,'Mar Youth Volleyball'!$A$78:$G$78,0))</f>
        <v>0</v>
      </c>
      <c r="M26" s="388">
        <f ca="1">INDEX(INDIRECT("'"&amp;$B$24&amp;"'!$A$78:$G$90"),MATCH(M$24,'Mar Youth Volleyball'!$A$78:$A$90,0),MATCH($B26,'Mar Youth Volleyball'!$A$78:$G$78,0))</f>
        <v>0</v>
      </c>
      <c r="N26" s="388">
        <f ca="1">INDEX(INDIRECT("'"&amp;$B$24&amp;"'!$A$78:$G$90"),MATCH(N$24,'Mar Youth Volleyball'!$A$78:$A$90,0),MATCH($B26,'Mar Youth Volleyball'!$A$78:$G$78,0))</f>
        <v>0</v>
      </c>
      <c r="O26" s="392"/>
    </row>
    <row r="27" spans="2:15" x14ac:dyDescent="0.25">
      <c r="B27" s="5" t="s">
        <v>18</v>
      </c>
      <c r="C27" s="388">
        <f ca="1">INDEX(INDIRECT("'"&amp;$B$24&amp;"'!$A$78:$G$90"),MATCH(C$24,'Mar Youth Volleyball'!$A$78:$A$90,0),MATCH($B27,'Mar Youth Volleyball'!$A$78:$G$78,0))</f>
        <v>0</v>
      </c>
      <c r="D27" s="388">
        <f ca="1">INDEX(INDIRECT("'"&amp;$B$24&amp;"'!$A$78:$G$90"),MATCH(D$24,'Mar Youth Volleyball'!$A$78:$A$90,0),MATCH($B27,'Mar Youth Volleyball'!$A$78:$G$78,0))</f>
        <v>0</v>
      </c>
      <c r="E27" s="388">
        <f ca="1">INDEX(INDIRECT("'"&amp;$B$24&amp;"'!$A$78:$G$90"),MATCH(E$24,'Mar Youth Volleyball'!$A$78:$A$90,0),MATCH($B27,'Mar Youth Volleyball'!$A$78:$G$78,0))</f>
        <v>0</v>
      </c>
      <c r="F27" s="388">
        <f ca="1">INDEX(INDIRECT("'"&amp;$B$24&amp;"'!$A$78:$G$90"),MATCH(F$24,'Mar Youth Volleyball'!$A$78:$A$90,0),MATCH($B27,'Mar Youth Volleyball'!$A$78:$G$78,0))</f>
        <v>1100</v>
      </c>
      <c r="G27" s="388">
        <f ca="1">INDEX(INDIRECT("'"&amp;$B$24&amp;"'!$A$78:$G$90"),MATCH(G$24,'Mar Youth Volleyball'!$A$78:$A$90,0),MATCH($B27,'Mar Youth Volleyball'!$A$78:$G$78,0))</f>
        <v>0</v>
      </c>
      <c r="H27" s="388">
        <f ca="1">INDEX(INDIRECT("'"&amp;$B$24&amp;"'!$A$78:$G$90"),MATCH(H$24,'Mar Youth Volleyball'!$A$78:$A$90,0),MATCH($B27,'Mar Youth Volleyball'!$A$78:$G$78,0))</f>
        <v>0</v>
      </c>
      <c r="I27" s="388">
        <f ca="1">INDEX(INDIRECT("'"&amp;$B$24&amp;"'!$A$78:$G$90"),MATCH(I$24,'Mar Youth Volleyball'!$A$78:$A$90,0),MATCH($B27,'Mar Youth Volleyball'!$A$78:$G$78,0))</f>
        <v>0</v>
      </c>
      <c r="J27" s="388">
        <f ca="1">INDEX(INDIRECT("'"&amp;$B$24&amp;"'!$A$78:$G$90"),MATCH(J$24,'Mar Youth Volleyball'!$A$78:$A$90,0),MATCH($B27,'Mar Youth Volleyball'!$A$78:$G$78,0))</f>
        <v>0</v>
      </c>
      <c r="K27" s="388">
        <f ca="1">INDEX(INDIRECT("'"&amp;$B$24&amp;"'!$A$78:$G$90"),MATCH(K$24,'Mar Youth Volleyball'!$A$78:$A$90,0),MATCH($B27,'Mar Youth Volleyball'!$A$78:$G$78,0))</f>
        <v>0</v>
      </c>
      <c r="L27" s="388">
        <f ca="1">INDEX(INDIRECT("'"&amp;$B$24&amp;"'!$A$78:$G$90"),MATCH(L$24,'Mar Youth Volleyball'!$A$78:$A$90,0),MATCH($B27,'Mar Youth Volleyball'!$A$78:$G$78,0))</f>
        <v>0</v>
      </c>
      <c r="M27" s="388">
        <f ca="1">INDEX(INDIRECT("'"&amp;$B$24&amp;"'!$A$78:$G$90"),MATCH(M$24,'Mar Youth Volleyball'!$A$78:$A$90,0),MATCH($B27,'Mar Youth Volleyball'!$A$78:$G$78,0))</f>
        <v>0</v>
      </c>
      <c r="N27" s="388">
        <f ca="1">INDEX(INDIRECT("'"&amp;$B$24&amp;"'!$A$78:$G$90"),MATCH(N$24,'Mar Youth Volleyball'!$A$78:$A$90,0),MATCH($B27,'Mar Youth Volleyball'!$A$78:$G$78,0))</f>
        <v>0</v>
      </c>
      <c r="O27" s="392"/>
    </row>
    <row r="28" spans="2:15" x14ac:dyDescent="0.25">
      <c r="B28" s="5" t="s">
        <v>20</v>
      </c>
      <c r="C28" s="388">
        <f ca="1">INDEX(INDIRECT("'"&amp;$B$24&amp;"'!$A$78:$G$90"),MATCH(C$24,'Mar Youth Volleyball'!$A$78:$A$90,0),MATCH($B28,'Mar Youth Volleyball'!$A$78:$G$78,0))</f>
        <v>0</v>
      </c>
      <c r="D28" s="388">
        <f ca="1">INDEX(INDIRECT("'"&amp;$B$24&amp;"'!$A$78:$G$90"),MATCH(D$24,'Mar Youth Volleyball'!$A$78:$A$90,0),MATCH($B28,'Mar Youth Volleyball'!$A$78:$G$78,0))</f>
        <v>0</v>
      </c>
      <c r="E28" s="388">
        <f ca="1">INDEX(INDIRECT("'"&amp;$B$24&amp;"'!$A$78:$G$90"),MATCH(E$24,'Mar Youth Volleyball'!$A$78:$A$90,0),MATCH($B28,'Mar Youth Volleyball'!$A$78:$G$78,0))</f>
        <v>0</v>
      </c>
      <c r="F28" s="388">
        <f ca="1">INDEX(INDIRECT("'"&amp;$B$24&amp;"'!$A$78:$G$90"),MATCH(F$24,'Mar Youth Volleyball'!$A$78:$A$90,0),MATCH($B28,'Mar Youth Volleyball'!$A$78:$G$78,0))</f>
        <v>0</v>
      </c>
      <c r="G28" s="388">
        <f ca="1">INDEX(INDIRECT("'"&amp;$B$24&amp;"'!$A$78:$G$90"),MATCH(G$24,'Mar Youth Volleyball'!$A$78:$A$90,0),MATCH($B28,'Mar Youth Volleyball'!$A$78:$G$78,0))</f>
        <v>0</v>
      </c>
      <c r="H28" s="388">
        <f ca="1">INDEX(INDIRECT("'"&amp;$B$24&amp;"'!$A$78:$G$90"),MATCH(H$24,'Mar Youth Volleyball'!$A$78:$A$90,0),MATCH($B28,'Mar Youth Volleyball'!$A$78:$G$78,0))</f>
        <v>0</v>
      </c>
      <c r="I28" s="388">
        <f ca="1">INDEX(INDIRECT("'"&amp;$B$24&amp;"'!$A$78:$G$90"),MATCH(I$24,'Mar Youth Volleyball'!$A$78:$A$90,0),MATCH($B28,'Mar Youth Volleyball'!$A$78:$G$78,0))</f>
        <v>0</v>
      </c>
      <c r="J28" s="388">
        <f ca="1">INDEX(INDIRECT("'"&amp;$B$24&amp;"'!$A$78:$G$90"),MATCH(J$24,'Mar Youth Volleyball'!$A$78:$A$90,0),MATCH($B28,'Mar Youth Volleyball'!$A$78:$G$78,0))</f>
        <v>0</v>
      </c>
      <c r="K28" s="388">
        <f ca="1">INDEX(INDIRECT("'"&amp;$B$24&amp;"'!$A$78:$G$90"),MATCH(K$24,'Mar Youth Volleyball'!$A$78:$A$90,0),MATCH($B28,'Mar Youth Volleyball'!$A$78:$G$78,0))</f>
        <v>0</v>
      </c>
      <c r="L28" s="388">
        <f ca="1">INDEX(INDIRECT("'"&amp;$B$24&amp;"'!$A$78:$G$90"),MATCH(L$24,'Mar Youth Volleyball'!$A$78:$A$90,0),MATCH($B28,'Mar Youth Volleyball'!$A$78:$G$78,0))</f>
        <v>0</v>
      </c>
      <c r="M28" s="388">
        <f ca="1">INDEX(INDIRECT("'"&amp;$B$24&amp;"'!$A$78:$G$90"),MATCH(M$24,'Mar Youth Volleyball'!$A$78:$A$90,0),MATCH($B28,'Mar Youth Volleyball'!$A$78:$G$78,0))</f>
        <v>0</v>
      </c>
      <c r="N28" s="388">
        <f ca="1">INDEX(INDIRECT("'"&amp;$B$24&amp;"'!$A$78:$G$90"),MATCH(N$24,'Mar Youth Volleyball'!$A$78:$A$90,0),MATCH($B28,'Mar Youth Volleyball'!$A$78:$G$78,0))</f>
        <v>0</v>
      </c>
      <c r="O28" s="392"/>
    </row>
    <row r="29" spans="2:15" x14ac:dyDescent="0.25">
      <c r="B29" s="5" t="s">
        <v>24</v>
      </c>
      <c r="C29" s="388">
        <f ca="1">INDEX(INDIRECT("'"&amp;$B$24&amp;"'!$A$78:$G$90"),MATCH(C$24,'Mar Youth Volleyball'!$A$78:$A$90,0),MATCH($B29,'Mar Youth Volleyball'!$A$78:$G$78,0))</f>
        <v>0</v>
      </c>
      <c r="D29" s="388">
        <f ca="1">INDEX(INDIRECT("'"&amp;$B$24&amp;"'!$A$78:$G$90"),MATCH(D$24,'Mar Youth Volleyball'!$A$78:$A$90,0),MATCH($B29,'Mar Youth Volleyball'!$A$78:$G$78,0))</f>
        <v>0</v>
      </c>
      <c r="E29" s="388">
        <f ca="1">INDEX(INDIRECT("'"&amp;$B$24&amp;"'!$A$78:$G$90"),MATCH(E$24,'Mar Youth Volleyball'!$A$78:$A$90,0),MATCH($B29,'Mar Youth Volleyball'!$A$78:$G$78,0))</f>
        <v>0</v>
      </c>
      <c r="F29" s="388">
        <f ca="1">INDEX(INDIRECT("'"&amp;$B$24&amp;"'!$A$78:$G$90"),MATCH(F$24,'Mar Youth Volleyball'!$A$78:$A$90,0),MATCH($B29,'Mar Youth Volleyball'!$A$78:$G$78,0))</f>
        <v>2310</v>
      </c>
      <c r="G29" s="388">
        <f ca="1">INDEX(INDIRECT("'"&amp;$B$24&amp;"'!$A$78:$G$90"),MATCH(G$24,'Mar Youth Volleyball'!$A$78:$A$90,0),MATCH($B29,'Mar Youth Volleyball'!$A$78:$G$78,0))</f>
        <v>0</v>
      </c>
      <c r="H29" s="388">
        <f ca="1">INDEX(INDIRECT("'"&amp;$B$24&amp;"'!$A$78:$G$90"),MATCH(H$24,'Mar Youth Volleyball'!$A$78:$A$90,0),MATCH($B29,'Mar Youth Volleyball'!$A$78:$G$78,0))</f>
        <v>0</v>
      </c>
      <c r="I29" s="388">
        <f ca="1">INDEX(INDIRECT("'"&amp;$B$24&amp;"'!$A$78:$G$90"),MATCH(I$24,'Mar Youth Volleyball'!$A$78:$A$90,0),MATCH($B29,'Mar Youth Volleyball'!$A$78:$G$78,0))</f>
        <v>0</v>
      </c>
      <c r="J29" s="388">
        <f ca="1">INDEX(INDIRECT("'"&amp;$B$24&amp;"'!$A$78:$G$90"),MATCH(J$24,'Mar Youth Volleyball'!$A$78:$A$90,0),MATCH($B29,'Mar Youth Volleyball'!$A$78:$G$78,0))</f>
        <v>0</v>
      </c>
      <c r="K29" s="388">
        <f ca="1">INDEX(INDIRECT("'"&amp;$B$24&amp;"'!$A$78:$G$90"),MATCH(K$24,'Mar Youth Volleyball'!$A$78:$A$90,0),MATCH($B29,'Mar Youth Volleyball'!$A$78:$G$78,0))</f>
        <v>0</v>
      </c>
      <c r="L29" s="388">
        <f ca="1">INDEX(INDIRECT("'"&amp;$B$24&amp;"'!$A$78:$G$90"),MATCH(L$24,'Mar Youth Volleyball'!$A$78:$A$90,0),MATCH($B29,'Mar Youth Volleyball'!$A$78:$G$78,0))</f>
        <v>0</v>
      </c>
      <c r="M29" s="388">
        <f ca="1">INDEX(INDIRECT("'"&amp;$B$24&amp;"'!$A$78:$G$90"),MATCH(M$24,'Mar Youth Volleyball'!$A$78:$A$90,0),MATCH($B29,'Mar Youth Volleyball'!$A$78:$G$78,0))</f>
        <v>0</v>
      </c>
      <c r="N29" s="388">
        <f ca="1">INDEX(INDIRECT("'"&amp;$B$24&amp;"'!$A$78:$G$90"),MATCH(N$24,'Mar Youth Volleyball'!$A$78:$A$90,0),MATCH($B29,'Mar Youth Volleyball'!$A$78:$G$78,0))</f>
        <v>0</v>
      </c>
      <c r="O29" s="392"/>
    </row>
    <row r="30" spans="2:15" x14ac:dyDescent="0.25">
      <c r="B30" s="5" t="s">
        <v>30</v>
      </c>
      <c r="C30" s="388">
        <f ca="1">INDEX(INDIRECT("'"&amp;$B$24&amp;"'!$A$78:$G$90"),MATCH(C$24,'Mar Youth Volleyball'!$A$78:$A$90,0),MATCH($B30,'Mar Youth Volleyball'!$A$78:$G$78,0))</f>
        <v>0</v>
      </c>
      <c r="D30" s="388">
        <f ca="1">INDEX(INDIRECT("'"&amp;$B$24&amp;"'!$A$78:$G$90"),MATCH(D$24,'Mar Youth Volleyball'!$A$78:$A$90,0),MATCH($B30,'Mar Youth Volleyball'!$A$78:$G$78,0))</f>
        <v>0</v>
      </c>
      <c r="E30" s="388">
        <f ca="1">INDEX(INDIRECT("'"&amp;$B$24&amp;"'!$A$78:$G$90"),MATCH(E$24,'Mar Youth Volleyball'!$A$78:$A$90,0),MATCH($B30,'Mar Youth Volleyball'!$A$78:$G$78,0))</f>
        <v>0</v>
      </c>
      <c r="F30" s="388">
        <f ca="1">INDEX(INDIRECT("'"&amp;$B$24&amp;"'!$A$78:$G$90"),MATCH(F$24,'Mar Youth Volleyball'!$A$78:$A$90,0),MATCH($B30,'Mar Youth Volleyball'!$A$78:$G$78,0))</f>
        <v>1500</v>
      </c>
      <c r="G30" s="388">
        <f ca="1">INDEX(INDIRECT("'"&amp;$B$24&amp;"'!$A$78:$G$90"),MATCH(G$24,'Mar Youth Volleyball'!$A$78:$A$90,0),MATCH($B30,'Mar Youth Volleyball'!$A$78:$G$78,0))</f>
        <v>0</v>
      </c>
      <c r="H30" s="388">
        <f ca="1">INDEX(INDIRECT("'"&amp;$B$24&amp;"'!$A$78:$G$90"),MATCH(H$24,'Mar Youth Volleyball'!$A$78:$A$90,0),MATCH($B30,'Mar Youth Volleyball'!$A$78:$G$78,0))</f>
        <v>0</v>
      </c>
      <c r="I30" s="388">
        <f ca="1">INDEX(INDIRECT("'"&amp;$B$24&amp;"'!$A$78:$G$90"),MATCH(I$24,'Mar Youth Volleyball'!$A$78:$A$90,0),MATCH($B30,'Mar Youth Volleyball'!$A$78:$G$78,0))</f>
        <v>0</v>
      </c>
      <c r="J30" s="388">
        <f ca="1">INDEX(INDIRECT("'"&amp;$B$24&amp;"'!$A$78:$G$90"),MATCH(J$24,'Mar Youth Volleyball'!$A$78:$A$90,0),MATCH($B30,'Mar Youth Volleyball'!$A$78:$G$78,0))</f>
        <v>0</v>
      </c>
      <c r="K30" s="388">
        <f ca="1">INDEX(INDIRECT("'"&amp;$B$24&amp;"'!$A$78:$G$90"),MATCH(K$24,'Mar Youth Volleyball'!$A$78:$A$90,0),MATCH($B30,'Mar Youth Volleyball'!$A$78:$G$78,0))</f>
        <v>0</v>
      </c>
      <c r="L30" s="388">
        <f ca="1">INDEX(INDIRECT("'"&amp;$B$24&amp;"'!$A$78:$G$90"),MATCH(L$24,'Mar Youth Volleyball'!$A$78:$A$90,0),MATCH($B30,'Mar Youth Volleyball'!$A$78:$G$78,0))</f>
        <v>0</v>
      </c>
      <c r="M30" s="388">
        <f ca="1">INDEX(INDIRECT("'"&amp;$B$24&amp;"'!$A$78:$G$90"),MATCH(M$24,'Mar Youth Volleyball'!$A$78:$A$90,0),MATCH($B30,'Mar Youth Volleyball'!$A$78:$G$78,0))</f>
        <v>0</v>
      </c>
      <c r="N30" s="388">
        <f ca="1">INDEX(INDIRECT("'"&amp;$B$24&amp;"'!$A$78:$G$90"),MATCH(N$24,'Mar Youth Volleyball'!$A$78:$A$90,0),MATCH($B30,'Mar Youth Volleyball'!$A$78:$G$78,0))</f>
        <v>0</v>
      </c>
      <c r="O30" s="392"/>
    </row>
    <row r="31" spans="2:15" x14ac:dyDescent="0.25">
      <c r="B31" s="5" t="s">
        <v>3</v>
      </c>
      <c r="C31" s="390">
        <f ca="1">SUBTOTAL(9,C26:C30)</f>
        <v>0</v>
      </c>
      <c r="D31" s="390">
        <f t="shared" ref="D31" ca="1" si="15">SUBTOTAL(9,D26:D30)</f>
        <v>0</v>
      </c>
      <c r="E31" s="390">
        <f t="shared" ref="E31" ca="1" si="16">SUBTOTAL(9,E26:E30)</f>
        <v>0</v>
      </c>
      <c r="F31" s="390">
        <f t="shared" ref="F31" ca="1" si="17">SUBTOTAL(9,F26:F30)</f>
        <v>5460</v>
      </c>
      <c r="G31" s="390">
        <f t="shared" ref="G31" ca="1" si="18">SUBTOTAL(9,G26:G30)</f>
        <v>550</v>
      </c>
      <c r="H31" s="390">
        <f t="shared" ref="H31" ca="1" si="19">SUBTOTAL(9,H26:H30)</f>
        <v>0</v>
      </c>
      <c r="I31" s="390">
        <f t="shared" ref="I31" ca="1" si="20">SUBTOTAL(9,I26:I30)</f>
        <v>0</v>
      </c>
      <c r="J31" s="390">
        <f t="shared" ref="J31" ca="1" si="21">SUBTOTAL(9,J26:J30)</f>
        <v>0</v>
      </c>
      <c r="K31" s="390">
        <f t="shared" ref="K31" ca="1" si="22">SUBTOTAL(9,K26:K30)</f>
        <v>0</v>
      </c>
      <c r="L31" s="390">
        <f t="shared" ref="L31" ca="1" si="23">SUBTOTAL(9,L26:L30)</f>
        <v>0</v>
      </c>
      <c r="M31" s="390">
        <f t="shared" ref="M31" ca="1" si="24">SUBTOTAL(9,M26:M30)</f>
        <v>0</v>
      </c>
      <c r="N31" s="390">
        <f t="shared" ref="N31" ca="1" si="25">SUBTOTAL(9,N26:N30)</f>
        <v>0</v>
      </c>
      <c r="O31" s="392"/>
    </row>
    <row r="32" spans="2:15" ht="15.75" thickBot="1" x14ac:dyDescent="0.3">
      <c r="C32" s="392"/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92"/>
    </row>
    <row r="33" spans="2:17" ht="15.75" thickBot="1" x14ac:dyDescent="0.3">
      <c r="B33" s="387" t="s">
        <v>383</v>
      </c>
      <c r="C33" s="389" t="s">
        <v>373</v>
      </c>
      <c r="D33" s="389" t="s">
        <v>349</v>
      </c>
      <c r="E33" s="389" t="s">
        <v>324</v>
      </c>
      <c r="F33" s="389" t="s">
        <v>339</v>
      </c>
      <c r="G33" s="389" t="s">
        <v>227</v>
      </c>
      <c r="H33" s="389" t="s">
        <v>341</v>
      </c>
      <c r="I33" s="389" t="s">
        <v>362</v>
      </c>
      <c r="J33" s="389" t="s">
        <v>344</v>
      </c>
      <c r="K33" s="389" t="s">
        <v>346</v>
      </c>
      <c r="L33" s="389" t="s">
        <v>374</v>
      </c>
      <c r="M33" s="389" t="s">
        <v>296</v>
      </c>
      <c r="N33" s="389" t="s">
        <v>348</v>
      </c>
      <c r="O33" s="392"/>
    </row>
    <row r="34" spans="2:17" x14ac:dyDescent="0.25">
      <c r="C34" s="392"/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392"/>
      <c r="O34" s="392"/>
    </row>
    <row r="35" spans="2:17" x14ac:dyDescent="0.25">
      <c r="B35" s="5" t="s">
        <v>16</v>
      </c>
      <c r="C35" s="388">
        <f ca="1">INDEX(INDIRECT("'"&amp;$B$33&amp;"'!$A$78:$G$90"),MATCH(C$33,'Mar Youth Volleyball'!$A$78:$A$90,0),MATCH($B35,'Mar Youth Volleyball'!$A$78:$G$78,0))</f>
        <v>0</v>
      </c>
      <c r="D35" s="388">
        <f ca="1">INDEX(INDIRECT("'"&amp;$B$33&amp;"'!$A$78:$G$90"),MATCH(D$33,'Mar Youth Volleyball'!$A$78:$A$90,0),MATCH($B35,'Mar Youth Volleyball'!$A$78:$G$78,0))</f>
        <v>0</v>
      </c>
      <c r="E35" s="388">
        <f ca="1">INDEX(INDIRECT("'"&amp;$B$33&amp;"'!$A$78:$G$90"),MATCH(E$33,'Mar Youth Volleyball'!$A$78:$A$90,0),MATCH($B35,'Mar Youth Volleyball'!$A$78:$G$78,0))</f>
        <v>0</v>
      </c>
      <c r="F35" s="388">
        <f ca="1">INDEX(INDIRECT("'"&amp;$B$33&amp;"'!$A$78:$G$90"),MATCH(F$33,'Mar Youth Volleyball'!$A$78:$A$90,0),MATCH($B35,'Mar Youth Volleyball'!$A$78:$G$78,0))</f>
        <v>0</v>
      </c>
      <c r="G35" s="388">
        <f ca="1">INDEX(INDIRECT("'"&amp;$B$33&amp;"'!$A$78:$G$90"),MATCH(G$33,'Mar Youth Volleyball'!$A$78:$A$90,0),MATCH($B35,'Mar Youth Volleyball'!$A$78:$G$78,0))</f>
        <v>1500</v>
      </c>
      <c r="H35" s="388">
        <f ca="1">INDEX(INDIRECT("'"&amp;$B$33&amp;"'!$A$78:$G$90"),MATCH(H$33,'Mar Youth Volleyball'!$A$78:$A$90,0),MATCH($B35,'Mar Youth Volleyball'!$A$78:$G$78,0))</f>
        <v>1500</v>
      </c>
      <c r="I35" s="388">
        <f ca="1">INDEX(INDIRECT("'"&amp;$B$33&amp;"'!$A$78:$G$90"),MATCH(I$33,'Mar Youth Volleyball'!$A$78:$A$90,0),MATCH($B35,'Mar Youth Volleyball'!$A$78:$G$78,0))</f>
        <v>0</v>
      </c>
      <c r="J35" s="388">
        <f ca="1">INDEX(INDIRECT("'"&amp;$B$33&amp;"'!$A$78:$G$90"),MATCH(J$33,'Mar Youth Volleyball'!$A$78:$A$90,0),MATCH($B35,'Mar Youth Volleyball'!$A$78:$G$78,0))</f>
        <v>0</v>
      </c>
      <c r="K35" s="388">
        <f ca="1">INDEX(INDIRECT("'"&amp;$B$33&amp;"'!$A$78:$G$90"),MATCH(K$33,'Mar Youth Volleyball'!$A$78:$A$90,0),MATCH($B35,'Mar Youth Volleyball'!$A$78:$G$78,0))</f>
        <v>0</v>
      </c>
      <c r="L35" s="388">
        <f ca="1">INDEX(INDIRECT("'"&amp;$B$33&amp;"'!$A$78:$G$90"),MATCH(L$33,'Mar Youth Volleyball'!$A$78:$A$90,0),MATCH($B35,'Mar Youth Volleyball'!$A$78:$G$78,0))</f>
        <v>0</v>
      </c>
      <c r="M35" s="388">
        <f ca="1">INDEX(INDIRECT("'"&amp;$B$33&amp;"'!$A$78:$G$90"),MATCH(M$33,'Mar Youth Volleyball'!$A$78:$A$90,0),MATCH($B35,'Mar Youth Volleyball'!$A$78:$G$78,0))</f>
        <v>0</v>
      </c>
      <c r="N35" s="388">
        <f ca="1">INDEX(INDIRECT("'"&amp;$B$33&amp;"'!$A$78:$G$90"),MATCH(N$33,'Mar Youth Volleyball'!$A$78:$A$90,0),MATCH($B35,'Mar Youth Volleyball'!$A$78:$G$78,0))</f>
        <v>0</v>
      </c>
      <c r="O35" s="392"/>
    </row>
    <row r="36" spans="2:17" x14ac:dyDescent="0.25">
      <c r="B36" s="5" t="s">
        <v>18</v>
      </c>
      <c r="C36" s="388">
        <f ca="1">INDEX(INDIRECT("'"&amp;$B$33&amp;"'!$A$78:$G$90"),MATCH(C$33,'Mar Youth Volleyball'!$A$78:$A$90,0),MATCH($B36,'Mar Youth Volleyball'!$A$78:$G$78,0))</f>
        <v>0</v>
      </c>
      <c r="D36" s="388">
        <f ca="1">INDEX(INDIRECT("'"&amp;$B$33&amp;"'!$A$78:$G$90"),MATCH(D$33,'Mar Youth Volleyball'!$A$78:$A$90,0),MATCH($B36,'Mar Youth Volleyball'!$A$78:$G$78,0))</f>
        <v>0</v>
      </c>
      <c r="E36" s="388">
        <f ca="1">INDEX(INDIRECT("'"&amp;$B$33&amp;"'!$A$78:$G$90"),MATCH(E$33,'Mar Youth Volleyball'!$A$78:$A$90,0),MATCH($B36,'Mar Youth Volleyball'!$A$78:$G$78,0))</f>
        <v>0</v>
      </c>
      <c r="F36" s="388">
        <f ca="1">INDEX(INDIRECT("'"&amp;$B$33&amp;"'!$A$78:$G$90"),MATCH(F$33,'Mar Youth Volleyball'!$A$78:$A$90,0),MATCH($B36,'Mar Youth Volleyball'!$A$78:$G$78,0))</f>
        <v>0</v>
      </c>
      <c r="G36" s="388">
        <f ca="1">INDEX(INDIRECT("'"&amp;$B$33&amp;"'!$A$78:$G$90"),MATCH(G$33,'Mar Youth Volleyball'!$A$78:$A$90,0),MATCH($B36,'Mar Youth Volleyball'!$A$78:$G$78,0))</f>
        <v>3000</v>
      </c>
      <c r="H36" s="388">
        <f ca="1">INDEX(INDIRECT("'"&amp;$B$33&amp;"'!$A$78:$G$90"),MATCH(H$33,'Mar Youth Volleyball'!$A$78:$A$90,0),MATCH($B36,'Mar Youth Volleyball'!$A$78:$G$78,0))</f>
        <v>0</v>
      </c>
      <c r="I36" s="388">
        <f ca="1">INDEX(INDIRECT("'"&amp;$B$33&amp;"'!$A$78:$G$90"),MATCH(I$33,'Mar Youth Volleyball'!$A$78:$A$90,0),MATCH($B36,'Mar Youth Volleyball'!$A$78:$G$78,0))</f>
        <v>0</v>
      </c>
      <c r="J36" s="388">
        <f ca="1">INDEX(INDIRECT("'"&amp;$B$33&amp;"'!$A$78:$G$90"),MATCH(J$33,'Mar Youth Volleyball'!$A$78:$A$90,0),MATCH($B36,'Mar Youth Volleyball'!$A$78:$G$78,0))</f>
        <v>0</v>
      </c>
      <c r="K36" s="388">
        <f ca="1">INDEX(INDIRECT("'"&amp;$B$33&amp;"'!$A$78:$G$90"),MATCH(K$33,'Mar Youth Volleyball'!$A$78:$A$90,0),MATCH($B36,'Mar Youth Volleyball'!$A$78:$G$78,0))</f>
        <v>0</v>
      </c>
      <c r="L36" s="388">
        <f ca="1">INDEX(INDIRECT("'"&amp;$B$33&amp;"'!$A$78:$G$90"),MATCH(L$33,'Mar Youth Volleyball'!$A$78:$A$90,0),MATCH($B36,'Mar Youth Volleyball'!$A$78:$G$78,0))</f>
        <v>0</v>
      </c>
      <c r="M36" s="388">
        <f ca="1">INDEX(INDIRECT("'"&amp;$B$33&amp;"'!$A$78:$G$90"),MATCH(M$33,'Mar Youth Volleyball'!$A$78:$A$90,0),MATCH($B36,'Mar Youth Volleyball'!$A$78:$G$78,0))</f>
        <v>0</v>
      </c>
      <c r="N36" s="388">
        <f ca="1">INDEX(INDIRECT("'"&amp;$B$33&amp;"'!$A$78:$G$90"),MATCH(N$33,'Mar Youth Volleyball'!$A$78:$A$90,0),MATCH($B36,'Mar Youth Volleyball'!$A$78:$G$78,0))</f>
        <v>0</v>
      </c>
      <c r="O36" s="392"/>
    </row>
    <row r="37" spans="2:17" x14ac:dyDescent="0.25">
      <c r="B37" s="5" t="s">
        <v>20</v>
      </c>
      <c r="C37" s="388">
        <f ca="1">INDEX(INDIRECT("'"&amp;$B$33&amp;"'!$A$78:$G$90"),MATCH(C$33,'Mar Youth Volleyball'!$A$78:$A$90,0),MATCH($B37,'Mar Youth Volleyball'!$A$78:$G$78,0))</f>
        <v>0</v>
      </c>
      <c r="D37" s="388">
        <f ca="1">INDEX(INDIRECT("'"&amp;$B$33&amp;"'!$A$78:$G$90"),MATCH(D$33,'Mar Youth Volleyball'!$A$78:$A$90,0),MATCH($B37,'Mar Youth Volleyball'!$A$78:$G$78,0))</f>
        <v>0</v>
      </c>
      <c r="E37" s="388">
        <f ca="1">INDEX(INDIRECT("'"&amp;$B$33&amp;"'!$A$78:$G$90"),MATCH(E$33,'Mar Youth Volleyball'!$A$78:$A$90,0),MATCH($B37,'Mar Youth Volleyball'!$A$78:$G$78,0))</f>
        <v>0</v>
      </c>
      <c r="F37" s="388">
        <f ca="1">INDEX(INDIRECT("'"&amp;$B$33&amp;"'!$A$78:$G$90"),MATCH(F$33,'Mar Youth Volleyball'!$A$78:$A$90,0),MATCH($B37,'Mar Youth Volleyball'!$A$78:$G$78,0))</f>
        <v>0</v>
      </c>
      <c r="G37" s="388">
        <f ca="1">INDEX(INDIRECT("'"&amp;$B$33&amp;"'!$A$78:$G$90"),MATCH(G$33,'Mar Youth Volleyball'!$A$78:$A$90,0),MATCH($B37,'Mar Youth Volleyball'!$A$78:$G$78,0))</f>
        <v>0</v>
      </c>
      <c r="H37" s="388">
        <f ca="1">INDEX(INDIRECT("'"&amp;$B$33&amp;"'!$A$78:$G$90"),MATCH(H$33,'Mar Youth Volleyball'!$A$78:$A$90,0),MATCH($B37,'Mar Youth Volleyball'!$A$78:$G$78,0))</f>
        <v>0</v>
      </c>
      <c r="I37" s="388">
        <f ca="1">INDEX(INDIRECT("'"&amp;$B$33&amp;"'!$A$78:$G$90"),MATCH(I$33,'Mar Youth Volleyball'!$A$78:$A$90,0),MATCH($B37,'Mar Youth Volleyball'!$A$78:$G$78,0))</f>
        <v>0</v>
      </c>
      <c r="J37" s="388">
        <f ca="1">INDEX(INDIRECT("'"&amp;$B$33&amp;"'!$A$78:$G$90"),MATCH(J$33,'Mar Youth Volleyball'!$A$78:$A$90,0),MATCH($B37,'Mar Youth Volleyball'!$A$78:$G$78,0))</f>
        <v>0</v>
      </c>
      <c r="K37" s="388">
        <f ca="1">INDEX(INDIRECT("'"&amp;$B$33&amp;"'!$A$78:$G$90"),MATCH(K$33,'Mar Youth Volleyball'!$A$78:$A$90,0),MATCH($B37,'Mar Youth Volleyball'!$A$78:$G$78,0))</f>
        <v>0</v>
      </c>
      <c r="L37" s="388">
        <f ca="1">INDEX(INDIRECT("'"&amp;$B$33&amp;"'!$A$78:$G$90"),MATCH(L$33,'Mar Youth Volleyball'!$A$78:$A$90,0),MATCH($B37,'Mar Youth Volleyball'!$A$78:$G$78,0))</f>
        <v>0</v>
      </c>
      <c r="M37" s="388">
        <f ca="1">INDEX(INDIRECT("'"&amp;$B$33&amp;"'!$A$78:$G$90"),MATCH(M$33,'Mar Youth Volleyball'!$A$78:$A$90,0),MATCH($B37,'Mar Youth Volleyball'!$A$78:$G$78,0))</f>
        <v>0</v>
      </c>
      <c r="N37" s="388">
        <f ca="1">INDEX(INDIRECT("'"&amp;$B$33&amp;"'!$A$78:$G$90"),MATCH(N$33,'Mar Youth Volleyball'!$A$78:$A$90,0),MATCH($B37,'Mar Youth Volleyball'!$A$78:$G$78,0))</f>
        <v>0</v>
      </c>
      <c r="O37" s="392"/>
    </row>
    <row r="38" spans="2:17" x14ac:dyDescent="0.25">
      <c r="B38" s="5" t="s">
        <v>24</v>
      </c>
      <c r="C38" s="388">
        <f ca="1">INDEX(INDIRECT("'"&amp;$B$33&amp;"'!$A$78:$G$90"),MATCH(C$33,'Mar Youth Volleyball'!$A$78:$A$90,0),MATCH($B38,'Mar Youth Volleyball'!$A$78:$G$78,0))</f>
        <v>0</v>
      </c>
      <c r="D38" s="388">
        <f ca="1">INDEX(INDIRECT("'"&amp;$B$33&amp;"'!$A$78:$G$90"),MATCH(D$33,'Mar Youth Volleyball'!$A$78:$A$90,0),MATCH($B38,'Mar Youth Volleyball'!$A$78:$G$78,0))</f>
        <v>0</v>
      </c>
      <c r="E38" s="388">
        <f ca="1">INDEX(INDIRECT("'"&amp;$B$33&amp;"'!$A$78:$G$90"),MATCH(E$33,'Mar Youth Volleyball'!$A$78:$A$90,0),MATCH($B38,'Mar Youth Volleyball'!$A$78:$G$78,0))</f>
        <v>0</v>
      </c>
      <c r="F38" s="388">
        <f ca="1">INDEX(INDIRECT("'"&amp;$B$33&amp;"'!$A$78:$G$90"),MATCH(F$33,'Mar Youth Volleyball'!$A$78:$A$90,0),MATCH($B38,'Mar Youth Volleyball'!$A$78:$G$78,0))</f>
        <v>0</v>
      </c>
      <c r="G38" s="388">
        <f ca="1">INDEX(INDIRECT("'"&amp;$B$33&amp;"'!$A$78:$G$90"),MATCH(G$33,'Mar Youth Volleyball'!$A$78:$A$90,0),MATCH($B38,'Mar Youth Volleyball'!$A$78:$G$78,0))</f>
        <v>6400</v>
      </c>
      <c r="H38" s="388">
        <f ca="1">INDEX(INDIRECT("'"&amp;$B$33&amp;"'!$A$78:$G$90"),MATCH(H$33,'Mar Youth Volleyball'!$A$78:$A$90,0),MATCH($B38,'Mar Youth Volleyball'!$A$78:$G$78,0))</f>
        <v>0</v>
      </c>
      <c r="I38" s="388">
        <f ca="1">INDEX(INDIRECT("'"&amp;$B$33&amp;"'!$A$78:$G$90"),MATCH(I$33,'Mar Youth Volleyball'!$A$78:$A$90,0),MATCH($B38,'Mar Youth Volleyball'!$A$78:$G$78,0))</f>
        <v>0</v>
      </c>
      <c r="J38" s="388">
        <f ca="1">INDEX(INDIRECT("'"&amp;$B$33&amp;"'!$A$78:$G$90"),MATCH(J$33,'Mar Youth Volleyball'!$A$78:$A$90,0),MATCH($B38,'Mar Youth Volleyball'!$A$78:$G$78,0))</f>
        <v>0</v>
      </c>
      <c r="K38" s="388">
        <f ca="1">INDEX(INDIRECT("'"&amp;$B$33&amp;"'!$A$78:$G$90"),MATCH(K$33,'Mar Youth Volleyball'!$A$78:$A$90,0),MATCH($B38,'Mar Youth Volleyball'!$A$78:$G$78,0))</f>
        <v>0</v>
      </c>
      <c r="L38" s="388">
        <f ca="1">INDEX(INDIRECT("'"&amp;$B$33&amp;"'!$A$78:$G$90"),MATCH(L$33,'Mar Youth Volleyball'!$A$78:$A$90,0),MATCH($B38,'Mar Youth Volleyball'!$A$78:$G$78,0))</f>
        <v>0</v>
      </c>
      <c r="M38" s="388">
        <f ca="1">INDEX(INDIRECT("'"&amp;$B$33&amp;"'!$A$78:$G$90"),MATCH(M$33,'Mar Youth Volleyball'!$A$78:$A$90,0),MATCH($B38,'Mar Youth Volleyball'!$A$78:$G$78,0))</f>
        <v>0</v>
      </c>
      <c r="N38" s="388">
        <f ca="1">INDEX(INDIRECT("'"&amp;$B$33&amp;"'!$A$78:$G$90"),MATCH(N$33,'Mar Youth Volleyball'!$A$78:$A$90,0),MATCH($B38,'Mar Youth Volleyball'!$A$78:$G$78,0))</f>
        <v>0</v>
      </c>
      <c r="O38" s="392"/>
    </row>
    <row r="39" spans="2:17" x14ac:dyDescent="0.25">
      <c r="B39" s="5" t="s">
        <v>30</v>
      </c>
      <c r="C39" s="388">
        <f ca="1">INDEX(INDIRECT("'"&amp;$B$33&amp;"'!$A$78:$G$90"),MATCH(C$33,'Mar Youth Volleyball'!$A$78:$A$90,0),MATCH($B39,'Mar Youth Volleyball'!$A$78:$G$78,0))</f>
        <v>0</v>
      </c>
      <c r="D39" s="388">
        <f ca="1">INDEX(INDIRECT("'"&amp;$B$33&amp;"'!$A$78:$G$90"),MATCH(D$33,'Mar Youth Volleyball'!$A$78:$A$90,0),MATCH($B39,'Mar Youth Volleyball'!$A$78:$G$78,0))</f>
        <v>0</v>
      </c>
      <c r="E39" s="388">
        <f ca="1">INDEX(INDIRECT("'"&amp;$B$33&amp;"'!$A$78:$G$90"),MATCH(E$33,'Mar Youth Volleyball'!$A$78:$A$90,0),MATCH($B39,'Mar Youth Volleyball'!$A$78:$G$78,0))</f>
        <v>0</v>
      </c>
      <c r="F39" s="388">
        <f ca="1">INDEX(INDIRECT("'"&amp;$B$33&amp;"'!$A$78:$G$90"),MATCH(F$33,'Mar Youth Volleyball'!$A$78:$A$90,0),MATCH($B39,'Mar Youth Volleyball'!$A$78:$G$78,0))</f>
        <v>0</v>
      </c>
      <c r="G39" s="388">
        <f ca="1">INDEX(INDIRECT("'"&amp;$B$33&amp;"'!$A$78:$G$90"),MATCH(G$33,'Mar Youth Volleyball'!$A$78:$A$90,0),MATCH($B39,'Mar Youth Volleyball'!$A$78:$G$78,0))</f>
        <v>1000</v>
      </c>
      <c r="H39" s="388">
        <f ca="1">INDEX(INDIRECT("'"&amp;$B$33&amp;"'!$A$78:$G$90"),MATCH(H$33,'Mar Youth Volleyball'!$A$78:$A$90,0),MATCH($B39,'Mar Youth Volleyball'!$A$78:$G$78,0))</f>
        <v>0</v>
      </c>
      <c r="I39" s="388">
        <f ca="1">INDEX(INDIRECT("'"&amp;$B$33&amp;"'!$A$78:$G$90"),MATCH(I$33,'Mar Youth Volleyball'!$A$78:$A$90,0),MATCH($B39,'Mar Youth Volleyball'!$A$78:$G$78,0))</f>
        <v>0</v>
      </c>
      <c r="J39" s="388">
        <f ca="1">INDEX(INDIRECT("'"&amp;$B$33&amp;"'!$A$78:$G$90"),MATCH(J$33,'Mar Youth Volleyball'!$A$78:$A$90,0),MATCH($B39,'Mar Youth Volleyball'!$A$78:$G$78,0))</f>
        <v>0</v>
      </c>
      <c r="K39" s="388">
        <f ca="1">INDEX(INDIRECT("'"&amp;$B$33&amp;"'!$A$78:$G$90"),MATCH(K$33,'Mar Youth Volleyball'!$A$78:$A$90,0),MATCH($B39,'Mar Youth Volleyball'!$A$78:$G$78,0))</f>
        <v>0</v>
      </c>
      <c r="L39" s="388">
        <f ca="1">INDEX(INDIRECT("'"&amp;$B$33&amp;"'!$A$78:$G$90"),MATCH(L$33,'Mar Youth Volleyball'!$A$78:$A$90,0),MATCH($B39,'Mar Youth Volleyball'!$A$78:$G$78,0))</f>
        <v>0</v>
      </c>
      <c r="M39" s="388">
        <f ca="1">INDEX(INDIRECT("'"&amp;$B$33&amp;"'!$A$78:$G$90"),MATCH(M$33,'Mar Youth Volleyball'!$A$78:$A$90,0),MATCH($B39,'Mar Youth Volleyball'!$A$78:$G$78,0))</f>
        <v>0</v>
      </c>
      <c r="N39" s="388">
        <f ca="1">INDEX(INDIRECT("'"&amp;$B$33&amp;"'!$A$78:$G$90"),MATCH(N$33,'Mar Youth Volleyball'!$A$78:$A$90,0),MATCH($B39,'Mar Youth Volleyball'!$A$78:$G$78,0))</f>
        <v>0</v>
      </c>
      <c r="O39" s="392"/>
    </row>
    <row r="40" spans="2:17" x14ac:dyDescent="0.25">
      <c r="B40" s="5" t="s">
        <v>3</v>
      </c>
      <c r="C40" s="390">
        <f ca="1">SUBTOTAL(9,C35:C39)</f>
        <v>0</v>
      </c>
      <c r="D40" s="390">
        <f t="shared" ref="D40" ca="1" si="26">SUBTOTAL(9,D35:D39)</f>
        <v>0</v>
      </c>
      <c r="E40" s="390">
        <f t="shared" ref="E40" ca="1" si="27">SUBTOTAL(9,E35:E39)</f>
        <v>0</v>
      </c>
      <c r="F40" s="390">
        <f t="shared" ref="F40" ca="1" si="28">SUBTOTAL(9,F35:F39)</f>
        <v>0</v>
      </c>
      <c r="G40" s="390">
        <f t="shared" ref="G40" ca="1" si="29">SUBTOTAL(9,G35:G39)</f>
        <v>11900</v>
      </c>
      <c r="H40" s="390">
        <f t="shared" ref="H40" ca="1" si="30">SUBTOTAL(9,H35:H39)</f>
        <v>1500</v>
      </c>
      <c r="I40" s="390">
        <f t="shared" ref="I40" ca="1" si="31">SUBTOTAL(9,I35:I39)</f>
        <v>0</v>
      </c>
      <c r="J40" s="390">
        <f t="shared" ref="J40" ca="1" si="32">SUBTOTAL(9,J35:J39)</f>
        <v>0</v>
      </c>
      <c r="K40" s="390">
        <f t="shared" ref="K40" ca="1" si="33">SUBTOTAL(9,K35:K39)</f>
        <v>0</v>
      </c>
      <c r="L40" s="390">
        <f t="shared" ref="L40" ca="1" si="34">SUBTOTAL(9,L35:L39)</f>
        <v>0</v>
      </c>
      <c r="M40" s="390">
        <f t="shared" ref="M40" ca="1" si="35">SUBTOTAL(9,M35:M39)</f>
        <v>0</v>
      </c>
      <c r="N40" s="390">
        <f t="shared" ref="N40" ca="1" si="36">SUBTOTAL(9,N35:N39)</f>
        <v>0</v>
      </c>
      <c r="O40" s="392"/>
    </row>
    <row r="41" spans="2:17" ht="15.75" thickBot="1" x14ac:dyDescent="0.3">
      <c r="C41" s="392"/>
      <c r="D41" s="392"/>
      <c r="E41" s="392"/>
      <c r="F41" s="392"/>
      <c r="G41" s="392"/>
      <c r="H41" s="392"/>
      <c r="I41" s="392"/>
      <c r="J41" s="392"/>
      <c r="K41" s="392"/>
      <c r="L41" s="392"/>
      <c r="M41" s="392"/>
      <c r="N41" s="392"/>
      <c r="O41" s="392"/>
      <c r="Q41" t="str" cm="1">
        <f t="array" aca="1" ref="Q41" ca="1">CELL("filename",A1)</f>
        <v>G:\My Drive\NS REC BOD\[2024 NSSRD Budget Draft_10_22_2023.xlsx]Sch F Program Exp by Month</v>
      </c>
    </row>
    <row r="42" spans="2:17" ht="15.75" thickBot="1" x14ac:dyDescent="0.3">
      <c r="B42" s="387" t="s">
        <v>384</v>
      </c>
      <c r="C42" s="389" t="s">
        <v>373</v>
      </c>
      <c r="D42" s="389" t="s">
        <v>349</v>
      </c>
      <c r="E42" s="389" t="s">
        <v>324</v>
      </c>
      <c r="F42" s="389" t="s">
        <v>339</v>
      </c>
      <c r="G42" s="389" t="s">
        <v>227</v>
      </c>
      <c r="H42" s="389" t="s">
        <v>341</v>
      </c>
      <c r="I42" s="389" t="s">
        <v>362</v>
      </c>
      <c r="J42" s="389" t="s">
        <v>344</v>
      </c>
      <c r="K42" s="389" t="s">
        <v>346</v>
      </c>
      <c r="L42" s="389" t="s">
        <v>374</v>
      </c>
      <c r="M42" s="389" t="s">
        <v>296</v>
      </c>
      <c r="N42" s="389" t="s">
        <v>348</v>
      </c>
      <c r="O42" s="392"/>
    </row>
    <row r="43" spans="2:17" x14ac:dyDescent="0.25">
      <c r="C43" s="392"/>
      <c r="D43" s="392"/>
      <c r="E43" s="392"/>
      <c r="F43" s="392"/>
      <c r="G43" s="392"/>
      <c r="H43" s="392"/>
      <c r="I43" s="392"/>
      <c r="J43" s="392"/>
      <c r="K43" s="392"/>
      <c r="L43" s="392"/>
      <c r="M43" s="392"/>
      <c r="N43" s="392"/>
      <c r="O43" s="392"/>
    </row>
    <row r="44" spans="2:17" x14ac:dyDescent="0.25">
      <c r="B44" s="5" t="s">
        <v>16</v>
      </c>
      <c r="C44" s="388">
        <f ca="1">INDEX(INDIRECT("'"&amp;$B$42&amp;"'!$A$78:$G$90"),MATCH(C$42,'Mar Youth Volleyball'!$A$78:$A$90,0),MATCH($B44,'Mar Youth Volleyball'!$A$78:$G$78,0))</f>
        <v>0</v>
      </c>
      <c r="D44" s="388">
        <f ca="1">INDEX(INDIRECT("'"&amp;$B$42&amp;"'!$A$78:$G$90"),MATCH(D$42,'Mar Youth Volleyball'!$A$78:$A$90,0),MATCH($B44,'Mar Youth Volleyball'!$A$78:$G$78,0))</f>
        <v>0</v>
      </c>
      <c r="E44" s="388">
        <f ca="1">INDEX(INDIRECT("'"&amp;$B$42&amp;"'!$A$78:$G$90"),MATCH(E$42,'Mar Youth Volleyball'!$A$78:$A$90,0),MATCH($B44,'Mar Youth Volleyball'!$A$78:$G$78,0))</f>
        <v>0</v>
      </c>
      <c r="F44" s="388">
        <f ca="1">INDEX(INDIRECT("'"&amp;$B$42&amp;"'!$A$78:$G$90"),MATCH(F$42,'Mar Youth Volleyball'!$A$78:$A$90,0),MATCH($B44,'Mar Youth Volleyball'!$A$78:$G$78,0))</f>
        <v>0</v>
      </c>
      <c r="G44" s="388">
        <f ca="1">INDEX(INDIRECT("'"&amp;$B$42&amp;"'!$A$78:$G$90"),MATCH(G$42,'Mar Youth Volleyball'!$A$78:$A$90,0),MATCH($B44,'Mar Youth Volleyball'!$A$78:$G$78,0))</f>
        <v>0</v>
      </c>
      <c r="H44" s="388">
        <f ca="1">INDEX(INDIRECT("'"&amp;$B$42&amp;"'!$A$78:$G$90"),MATCH(H$42,'Mar Youth Volleyball'!$A$78:$A$90,0),MATCH($B44,'Mar Youth Volleyball'!$A$78:$G$78,0))</f>
        <v>0</v>
      </c>
      <c r="I44" s="388">
        <f ca="1">INDEX(INDIRECT("'"&amp;$B$42&amp;"'!$A$78:$G$90"),MATCH(I$42,'Mar Youth Volleyball'!$A$78:$A$90,0),MATCH($B44,'Mar Youth Volleyball'!$A$78:$G$78,0))</f>
        <v>0</v>
      </c>
      <c r="J44" s="388">
        <f ca="1">INDEX(INDIRECT("'"&amp;$B$42&amp;"'!$A$78:$G$90"),MATCH(J$42,'Mar Youth Volleyball'!$A$78:$A$90,0),MATCH($B44,'Mar Youth Volleyball'!$A$78:$G$78,0))</f>
        <v>0</v>
      </c>
      <c r="K44" s="388">
        <f ca="1">INDEX(INDIRECT("'"&amp;$B$42&amp;"'!$A$78:$G$90"),MATCH(K$42,'Mar Youth Volleyball'!$A$78:$A$90,0),MATCH($B44,'Mar Youth Volleyball'!$A$78:$G$78,0))</f>
        <v>0</v>
      </c>
      <c r="L44" s="388">
        <f ca="1">INDEX(INDIRECT("'"&amp;$B$42&amp;"'!$A$78:$G$90"),MATCH(L$42,'Mar Youth Volleyball'!$A$78:$A$90,0),MATCH($B44,'Mar Youth Volleyball'!$A$78:$G$78,0))</f>
        <v>0</v>
      </c>
      <c r="M44" s="388">
        <f ca="1">INDEX(INDIRECT("'"&amp;$B$42&amp;"'!$A$78:$G$90"),MATCH(M$42,'Mar Youth Volleyball'!$A$78:$A$90,0),MATCH($B44,'Mar Youth Volleyball'!$A$78:$G$78,0))</f>
        <v>0</v>
      </c>
      <c r="N44" s="388">
        <f ca="1">INDEX(INDIRECT("'"&amp;$B$42&amp;"'!$A$78:$G$90"),MATCH(N$42,'Mar Youth Volleyball'!$A$78:$A$90,0),MATCH($B44,'Mar Youth Volleyball'!$A$78:$G$78,0))</f>
        <v>0</v>
      </c>
      <c r="O44" s="392"/>
    </row>
    <row r="45" spans="2:17" x14ac:dyDescent="0.25">
      <c r="B45" s="5" t="s">
        <v>18</v>
      </c>
      <c r="C45" s="388">
        <f ca="1">INDEX(INDIRECT("'"&amp;$B$42&amp;"'!$A$78:$G$90"),MATCH(C$42,'Mar Youth Volleyball'!$A$78:$A$90,0),MATCH($B45,'Mar Youth Volleyball'!$A$78:$G$78,0))</f>
        <v>0</v>
      </c>
      <c r="D45" s="388">
        <f ca="1">INDEX(INDIRECT("'"&amp;$B$42&amp;"'!$A$78:$G$90"),MATCH(D$42,'Mar Youth Volleyball'!$A$78:$A$90,0),MATCH($B45,'Mar Youth Volleyball'!$A$78:$G$78,0))</f>
        <v>0</v>
      </c>
      <c r="E45" s="388">
        <f ca="1">INDEX(INDIRECT("'"&amp;$B$42&amp;"'!$A$78:$G$90"),MATCH(E$42,'Mar Youth Volleyball'!$A$78:$A$90,0),MATCH($B45,'Mar Youth Volleyball'!$A$78:$G$78,0))</f>
        <v>0</v>
      </c>
      <c r="F45" s="388">
        <f ca="1">INDEX(INDIRECT("'"&amp;$B$42&amp;"'!$A$78:$G$90"),MATCH(F$42,'Mar Youth Volleyball'!$A$78:$A$90,0),MATCH($B45,'Mar Youth Volleyball'!$A$78:$G$78,0))</f>
        <v>3372</v>
      </c>
      <c r="G45" s="388">
        <f ca="1">INDEX(INDIRECT("'"&amp;$B$42&amp;"'!$A$78:$G$90"),MATCH(G$42,'Mar Youth Volleyball'!$A$78:$A$90,0),MATCH($B45,'Mar Youth Volleyball'!$A$78:$G$78,0))</f>
        <v>0</v>
      </c>
      <c r="H45" s="388">
        <f ca="1">INDEX(INDIRECT("'"&amp;$B$42&amp;"'!$A$78:$G$90"),MATCH(H$42,'Mar Youth Volleyball'!$A$78:$A$90,0),MATCH($B45,'Mar Youth Volleyball'!$A$78:$G$78,0))</f>
        <v>0</v>
      </c>
      <c r="I45" s="388">
        <f ca="1">INDEX(INDIRECT("'"&amp;$B$42&amp;"'!$A$78:$G$90"),MATCH(I$42,'Mar Youth Volleyball'!$A$78:$A$90,0),MATCH($B45,'Mar Youth Volleyball'!$A$78:$G$78,0))</f>
        <v>0</v>
      </c>
      <c r="J45" s="388">
        <f ca="1">INDEX(INDIRECT("'"&amp;$B$42&amp;"'!$A$78:$G$90"),MATCH(J$42,'Mar Youth Volleyball'!$A$78:$A$90,0),MATCH($B45,'Mar Youth Volleyball'!$A$78:$G$78,0))</f>
        <v>0</v>
      </c>
      <c r="K45" s="388">
        <f ca="1">INDEX(INDIRECT("'"&amp;$B$42&amp;"'!$A$78:$G$90"),MATCH(K$42,'Mar Youth Volleyball'!$A$78:$A$90,0),MATCH($B45,'Mar Youth Volleyball'!$A$78:$G$78,0))</f>
        <v>0</v>
      </c>
      <c r="L45" s="388">
        <f ca="1">INDEX(INDIRECT("'"&amp;$B$42&amp;"'!$A$78:$G$90"),MATCH(L$42,'Mar Youth Volleyball'!$A$78:$A$90,0),MATCH($B45,'Mar Youth Volleyball'!$A$78:$G$78,0))</f>
        <v>0</v>
      </c>
      <c r="M45" s="388">
        <f ca="1">INDEX(INDIRECT("'"&amp;$B$42&amp;"'!$A$78:$G$90"),MATCH(M$42,'Mar Youth Volleyball'!$A$78:$A$90,0),MATCH($B45,'Mar Youth Volleyball'!$A$78:$G$78,0))</f>
        <v>0</v>
      </c>
      <c r="N45" s="388">
        <f ca="1">INDEX(INDIRECT("'"&amp;$B$42&amp;"'!$A$78:$G$90"),MATCH(N$42,'Mar Youth Volleyball'!$A$78:$A$90,0),MATCH($B45,'Mar Youth Volleyball'!$A$78:$G$78,0))</f>
        <v>0</v>
      </c>
      <c r="O45" s="392"/>
    </row>
    <row r="46" spans="2:17" x14ac:dyDescent="0.25">
      <c r="B46" s="5" t="s">
        <v>20</v>
      </c>
      <c r="C46" s="388">
        <f ca="1">INDEX(INDIRECT("'"&amp;$B$42&amp;"'!$A$78:$G$90"),MATCH(C$42,'Mar Youth Volleyball'!$A$78:$A$90,0),MATCH($B46,'Mar Youth Volleyball'!$A$78:$G$78,0))</f>
        <v>0</v>
      </c>
      <c r="D46" s="388">
        <f ca="1">INDEX(INDIRECT("'"&amp;$B$42&amp;"'!$A$78:$G$90"),MATCH(D$42,'Mar Youth Volleyball'!$A$78:$A$90,0),MATCH($B46,'Mar Youth Volleyball'!$A$78:$G$78,0))</f>
        <v>0</v>
      </c>
      <c r="E46" s="388">
        <f ca="1">INDEX(INDIRECT("'"&amp;$B$42&amp;"'!$A$78:$G$90"),MATCH(E$42,'Mar Youth Volleyball'!$A$78:$A$90,0),MATCH($B46,'Mar Youth Volleyball'!$A$78:$G$78,0))</f>
        <v>0</v>
      </c>
      <c r="F46" s="388">
        <f ca="1">INDEX(INDIRECT("'"&amp;$B$42&amp;"'!$A$78:$G$90"),MATCH(F$42,'Mar Youth Volleyball'!$A$78:$A$90,0),MATCH($B46,'Mar Youth Volleyball'!$A$78:$G$78,0))</f>
        <v>0</v>
      </c>
      <c r="G46" s="388">
        <f ca="1">INDEX(INDIRECT("'"&amp;$B$42&amp;"'!$A$78:$G$90"),MATCH(G$42,'Mar Youth Volleyball'!$A$78:$A$90,0),MATCH($B46,'Mar Youth Volleyball'!$A$78:$G$78,0))</f>
        <v>0</v>
      </c>
      <c r="H46" s="388">
        <f ca="1">INDEX(INDIRECT("'"&amp;$B$42&amp;"'!$A$78:$G$90"),MATCH(H$42,'Mar Youth Volleyball'!$A$78:$A$90,0),MATCH($B46,'Mar Youth Volleyball'!$A$78:$G$78,0))</f>
        <v>0</v>
      </c>
      <c r="I46" s="388">
        <f ca="1">INDEX(INDIRECT("'"&amp;$B$42&amp;"'!$A$78:$G$90"),MATCH(I$42,'Mar Youth Volleyball'!$A$78:$A$90,0),MATCH($B46,'Mar Youth Volleyball'!$A$78:$G$78,0))</f>
        <v>0</v>
      </c>
      <c r="J46" s="388">
        <f ca="1">INDEX(INDIRECT("'"&amp;$B$42&amp;"'!$A$78:$G$90"),MATCH(J$42,'Mar Youth Volleyball'!$A$78:$A$90,0),MATCH($B46,'Mar Youth Volleyball'!$A$78:$G$78,0))</f>
        <v>0</v>
      </c>
      <c r="K46" s="388">
        <f ca="1">INDEX(INDIRECT("'"&amp;$B$42&amp;"'!$A$78:$G$90"),MATCH(K$42,'Mar Youth Volleyball'!$A$78:$A$90,0),MATCH($B46,'Mar Youth Volleyball'!$A$78:$G$78,0))</f>
        <v>0</v>
      </c>
      <c r="L46" s="388">
        <f ca="1">INDEX(INDIRECT("'"&amp;$B$42&amp;"'!$A$78:$G$90"),MATCH(L$42,'Mar Youth Volleyball'!$A$78:$A$90,0),MATCH($B46,'Mar Youth Volleyball'!$A$78:$G$78,0))</f>
        <v>0</v>
      </c>
      <c r="M46" s="388">
        <f ca="1">INDEX(INDIRECT("'"&amp;$B$42&amp;"'!$A$78:$G$90"),MATCH(M$42,'Mar Youth Volleyball'!$A$78:$A$90,0),MATCH($B46,'Mar Youth Volleyball'!$A$78:$G$78,0))</f>
        <v>0</v>
      </c>
      <c r="N46" s="388">
        <f ca="1">INDEX(INDIRECT("'"&amp;$B$42&amp;"'!$A$78:$G$90"),MATCH(N$42,'Mar Youth Volleyball'!$A$78:$A$90,0),MATCH($B46,'Mar Youth Volleyball'!$A$78:$G$78,0))</f>
        <v>0</v>
      </c>
      <c r="O46" s="392"/>
    </row>
    <row r="47" spans="2:17" x14ac:dyDescent="0.25">
      <c r="B47" s="5" t="s">
        <v>24</v>
      </c>
      <c r="C47" s="388">
        <f ca="1">INDEX(INDIRECT("'"&amp;$B$42&amp;"'!$A$78:$G$90"),MATCH(C$42,'Mar Youth Volleyball'!$A$78:$A$90,0),MATCH($B47,'Mar Youth Volleyball'!$A$78:$G$78,0))</f>
        <v>0</v>
      </c>
      <c r="D47" s="388">
        <f ca="1">INDEX(INDIRECT("'"&amp;$B$42&amp;"'!$A$78:$G$90"),MATCH(D$42,'Mar Youth Volleyball'!$A$78:$A$90,0),MATCH($B47,'Mar Youth Volleyball'!$A$78:$G$78,0))</f>
        <v>0</v>
      </c>
      <c r="E47" s="388">
        <f ca="1">INDEX(INDIRECT("'"&amp;$B$42&amp;"'!$A$78:$G$90"),MATCH(E$42,'Mar Youth Volleyball'!$A$78:$A$90,0),MATCH($B47,'Mar Youth Volleyball'!$A$78:$G$78,0))</f>
        <v>0</v>
      </c>
      <c r="F47" s="388">
        <f ca="1">INDEX(INDIRECT("'"&amp;$B$42&amp;"'!$A$78:$G$90"),MATCH(F$42,'Mar Youth Volleyball'!$A$78:$A$90,0),MATCH($B47,'Mar Youth Volleyball'!$A$78:$G$78,0))</f>
        <v>570</v>
      </c>
      <c r="G47" s="388">
        <f ca="1">INDEX(INDIRECT("'"&amp;$B$42&amp;"'!$A$78:$G$90"),MATCH(G$42,'Mar Youth Volleyball'!$A$78:$A$90,0),MATCH($B47,'Mar Youth Volleyball'!$A$78:$G$78,0))</f>
        <v>0</v>
      </c>
      <c r="H47" s="388">
        <f ca="1">INDEX(INDIRECT("'"&amp;$B$42&amp;"'!$A$78:$G$90"),MATCH(H$42,'Mar Youth Volleyball'!$A$78:$A$90,0),MATCH($B47,'Mar Youth Volleyball'!$A$78:$G$78,0))</f>
        <v>0</v>
      </c>
      <c r="I47" s="388">
        <f ca="1">INDEX(INDIRECT("'"&amp;$B$42&amp;"'!$A$78:$G$90"),MATCH(I$42,'Mar Youth Volleyball'!$A$78:$A$90,0),MATCH($B47,'Mar Youth Volleyball'!$A$78:$G$78,0))</f>
        <v>0</v>
      </c>
      <c r="J47" s="388">
        <f ca="1">INDEX(INDIRECT("'"&amp;$B$42&amp;"'!$A$78:$G$90"),MATCH(J$42,'Mar Youth Volleyball'!$A$78:$A$90,0),MATCH($B47,'Mar Youth Volleyball'!$A$78:$G$78,0))</f>
        <v>0</v>
      </c>
      <c r="K47" s="388">
        <f ca="1">INDEX(INDIRECT("'"&amp;$B$42&amp;"'!$A$78:$G$90"),MATCH(K$42,'Mar Youth Volleyball'!$A$78:$A$90,0),MATCH($B47,'Mar Youth Volleyball'!$A$78:$G$78,0))</f>
        <v>0</v>
      </c>
      <c r="L47" s="388">
        <f ca="1">INDEX(INDIRECT("'"&amp;$B$42&amp;"'!$A$78:$G$90"),MATCH(L$42,'Mar Youth Volleyball'!$A$78:$A$90,0),MATCH($B47,'Mar Youth Volleyball'!$A$78:$G$78,0))</f>
        <v>0</v>
      </c>
      <c r="M47" s="388">
        <f ca="1">INDEX(INDIRECT("'"&amp;$B$42&amp;"'!$A$78:$G$90"),MATCH(M$42,'Mar Youth Volleyball'!$A$78:$A$90,0),MATCH($B47,'Mar Youth Volleyball'!$A$78:$G$78,0))</f>
        <v>0</v>
      </c>
      <c r="N47" s="388">
        <f ca="1">INDEX(INDIRECT("'"&amp;$B$42&amp;"'!$A$78:$G$90"),MATCH(N$42,'Mar Youth Volleyball'!$A$78:$A$90,0),MATCH($B47,'Mar Youth Volleyball'!$A$78:$G$78,0))</f>
        <v>0</v>
      </c>
      <c r="O47" s="392"/>
    </row>
    <row r="48" spans="2:17" x14ac:dyDescent="0.25">
      <c r="B48" s="5" t="s">
        <v>30</v>
      </c>
      <c r="C48" s="388">
        <f ca="1">INDEX(INDIRECT("'"&amp;$B$42&amp;"'!$A$78:$G$90"),MATCH(C$42,'Mar Youth Volleyball'!$A$78:$A$90,0),MATCH($B48,'Mar Youth Volleyball'!$A$78:$G$78,0))</f>
        <v>0</v>
      </c>
      <c r="D48" s="388">
        <f ca="1">INDEX(INDIRECT("'"&amp;$B$42&amp;"'!$A$78:$G$90"),MATCH(D$42,'Mar Youth Volleyball'!$A$78:$A$90,0),MATCH($B48,'Mar Youth Volleyball'!$A$78:$G$78,0))</f>
        <v>0</v>
      </c>
      <c r="E48" s="388">
        <f ca="1">INDEX(INDIRECT("'"&amp;$B$42&amp;"'!$A$78:$G$90"),MATCH(E$42,'Mar Youth Volleyball'!$A$78:$A$90,0),MATCH($B48,'Mar Youth Volleyball'!$A$78:$G$78,0))</f>
        <v>0</v>
      </c>
      <c r="F48" s="388">
        <f ca="1">INDEX(INDIRECT("'"&amp;$B$42&amp;"'!$A$78:$G$90"),MATCH(F$42,'Mar Youth Volleyball'!$A$78:$A$90,0),MATCH($B48,'Mar Youth Volleyball'!$A$78:$G$78,0))</f>
        <v>310</v>
      </c>
      <c r="G48" s="388">
        <f ca="1">INDEX(INDIRECT("'"&amp;$B$42&amp;"'!$A$78:$G$90"),MATCH(G$42,'Mar Youth Volleyball'!$A$78:$A$90,0),MATCH($B48,'Mar Youth Volleyball'!$A$78:$G$78,0))</f>
        <v>0</v>
      </c>
      <c r="H48" s="388">
        <f ca="1">INDEX(INDIRECT("'"&amp;$B$42&amp;"'!$A$78:$G$90"),MATCH(H$42,'Mar Youth Volleyball'!$A$78:$A$90,0),MATCH($B48,'Mar Youth Volleyball'!$A$78:$G$78,0))</f>
        <v>0</v>
      </c>
      <c r="I48" s="388">
        <f ca="1">INDEX(INDIRECT("'"&amp;$B$42&amp;"'!$A$78:$G$90"),MATCH(I$42,'Mar Youth Volleyball'!$A$78:$A$90,0),MATCH($B48,'Mar Youth Volleyball'!$A$78:$G$78,0))</f>
        <v>0</v>
      </c>
      <c r="J48" s="388">
        <f ca="1">INDEX(INDIRECT("'"&amp;$B$42&amp;"'!$A$78:$G$90"),MATCH(J$42,'Mar Youth Volleyball'!$A$78:$A$90,0),MATCH($B48,'Mar Youth Volleyball'!$A$78:$G$78,0))</f>
        <v>0</v>
      </c>
      <c r="K48" s="388">
        <f ca="1">INDEX(INDIRECT("'"&amp;$B$42&amp;"'!$A$78:$G$90"),MATCH(K$42,'Mar Youth Volleyball'!$A$78:$A$90,0),MATCH($B48,'Mar Youth Volleyball'!$A$78:$G$78,0))</f>
        <v>0</v>
      </c>
      <c r="L48" s="388">
        <f ca="1">INDEX(INDIRECT("'"&amp;$B$42&amp;"'!$A$78:$G$90"),MATCH(L$42,'Mar Youth Volleyball'!$A$78:$A$90,0),MATCH($B48,'Mar Youth Volleyball'!$A$78:$G$78,0))</f>
        <v>0</v>
      </c>
      <c r="M48" s="388">
        <f ca="1">INDEX(INDIRECT("'"&amp;$B$42&amp;"'!$A$78:$G$90"),MATCH(M$42,'Mar Youth Volleyball'!$A$78:$A$90,0),MATCH($B48,'Mar Youth Volleyball'!$A$78:$G$78,0))</f>
        <v>0</v>
      </c>
      <c r="N48" s="388">
        <f ca="1">INDEX(INDIRECT("'"&amp;$B$42&amp;"'!$A$78:$G$90"),MATCH(N$42,'Mar Youth Volleyball'!$A$78:$A$90,0),MATCH($B48,'Mar Youth Volleyball'!$A$78:$G$78,0))</f>
        <v>0</v>
      </c>
      <c r="O48" s="392"/>
    </row>
    <row r="49" spans="2:15" x14ac:dyDescent="0.25">
      <c r="B49" s="5" t="s">
        <v>3</v>
      </c>
      <c r="C49" s="390">
        <f ca="1">SUBTOTAL(9,C44:C48)</f>
        <v>0</v>
      </c>
      <c r="D49" s="390">
        <f t="shared" ref="D49" ca="1" si="37">SUBTOTAL(9,D44:D48)</f>
        <v>0</v>
      </c>
      <c r="E49" s="390">
        <f t="shared" ref="E49" ca="1" si="38">SUBTOTAL(9,E44:E48)</f>
        <v>0</v>
      </c>
      <c r="F49" s="390">
        <f t="shared" ref="F49" ca="1" si="39">SUBTOTAL(9,F44:F48)</f>
        <v>4252</v>
      </c>
      <c r="G49" s="390">
        <f t="shared" ref="G49" ca="1" si="40">SUBTOTAL(9,G44:G48)</f>
        <v>0</v>
      </c>
      <c r="H49" s="390">
        <f t="shared" ref="H49" ca="1" si="41">SUBTOTAL(9,H44:H48)</f>
        <v>0</v>
      </c>
      <c r="I49" s="390">
        <f t="shared" ref="I49" ca="1" si="42">SUBTOTAL(9,I44:I48)</f>
        <v>0</v>
      </c>
      <c r="J49" s="390">
        <f t="shared" ref="J49" ca="1" si="43">SUBTOTAL(9,J44:J48)</f>
        <v>0</v>
      </c>
      <c r="K49" s="390">
        <f t="shared" ref="K49" ca="1" si="44">SUBTOTAL(9,K44:K48)</f>
        <v>0</v>
      </c>
      <c r="L49" s="390">
        <f t="shared" ref="L49" ca="1" si="45">SUBTOTAL(9,L44:L48)</f>
        <v>0</v>
      </c>
      <c r="M49" s="390">
        <f t="shared" ref="M49" ca="1" si="46">SUBTOTAL(9,M44:M48)</f>
        <v>0</v>
      </c>
      <c r="N49" s="390">
        <f t="shared" ref="N49" ca="1" si="47">SUBTOTAL(9,N44:N48)</f>
        <v>0</v>
      </c>
      <c r="O49" s="392"/>
    </row>
    <row r="50" spans="2:15" ht="15.75" thickBot="1" x14ac:dyDescent="0.3"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N50" s="392"/>
      <c r="O50" s="392"/>
    </row>
    <row r="51" spans="2:15" ht="15.75" thickBot="1" x14ac:dyDescent="0.3">
      <c r="B51" s="387" t="s">
        <v>385</v>
      </c>
      <c r="C51" s="389" t="s">
        <v>373</v>
      </c>
      <c r="D51" s="389" t="s">
        <v>349</v>
      </c>
      <c r="E51" s="389" t="s">
        <v>324</v>
      </c>
      <c r="F51" s="389" t="s">
        <v>339</v>
      </c>
      <c r="G51" s="389" t="s">
        <v>227</v>
      </c>
      <c r="H51" s="389" t="s">
        <v>341</v>
      </c>
      <c r="I51" s="389" t="s">
        <v>362</v>
      </c>
      <c r="J51" s="389" t="s">
        <v>344</v>
      </c>
      <c r="K51" s="389" t="s">
        <v>346</v>
      </c>
      <c r="L51" s="389" t="s">
        <v>374</v>
      </c>
      <c r="M51" s="389" t="s">
        <v>296</v>
      </c>
      <c r="N51" s="389" t="s">
        <v>348</v>
      </c>
      <c r="O51" s="392"/>
    </row>
    <row r="52" spans="2:15" x14ac:dyDescent="0.25">
      <c r="C52" s="392"/>
      <c r="D52" s="392"/>
      <c r="E52" s="392"/>
      <c r="F52" s="392"/>
      <c r="G52" s="392"/>
      <c r="H52" s="392"/>
      <c r="I52" s="392"/>
      <c r="J52" s="392"/>
      <c r="K52" s="392"/>
      <c r="L52" s="392"/>
      <c r="M52" s="392"/>
      <c r="N52" s="392"/>
      <c r="O52" s="392"/>
    </row>
    <row r="53" spans="2:15" x14ac:dyDescent="0.25">
      <c r="B53" s="5" t="s">
        <v>16</v>
      </c>
      <c r="C53" s="388">
        <f ca="1">INDEX(INDIRECT("'"&amp;$B$51&amp;"'!$A$78:$G$90"),MATCH(C$51,'Mar Youth Volleyball'!$A$78:$A$90,0),MATCH($B53,'Mar Youth Volleyball'!$A$78:$G$78,0))</f>
        <v>0</v>
      </c>
      <c r="D53" s="388">
        <f ca="1">INDEX(INDIRECT("'"&amp;$B$51&amp;"'!$A$78:$G$90"),MATCH(D$51,'Mar Youth Volleyball'!$A$78:$A$90,0),MATCH($B53,'Mar Youth Volleyball'!$A$78:$G$78,0))</f>
        <v>0</v>
      </c>
      <c r="E53" s="388">
        <f ca="1">INDEX(INDIRECT("'"&amp;$B$51&amp;"'!$A$78:$G$90"),MATCH(E$51,'Mar Youth Volleyball'!$A$78:$A$90,0),MATCH($B53,'Mar Youth Volleyball'!$A$78:$G$78,0))</f>
        <v>0</v>
      </c>
      <c r="F53" s="388">
        <f ca="1">INDEX(INDIRECT("'"&amp;$B$51&amp;"'!$A$78:$G$90"),MATCH(F$51,'Mar Youth Volleyball'!$A$78:$A$90,0),MATCH($B53,'Mar Youth Volleyball'!$A$78:$G$78,0))</f>
        <v>0</v>
      </c>
      <c r="G53" s="388">
        <f ca="1">INDEX(INDIRECT("'"&amp;$B$51&amp;"'!$A$78:$G$90"),MATCH(G$51,'Mar Youth Volleyball'!$A$78:$A$90,0),MATCH($B53,'Mar Youth Volleyball'!$A$78:$G$78,0))</f>
        <v>0</v>
      </c>
      <c r="H53" s="388">
        <f ca="1">INDEX(INDIRECT("'"&amp;$B$51&amp;"'!$A$78:$G$90"),MATCH(H$51,'Mar Youth Volleyball'!$A$78:$A$90,0),MATCH($B53,'Mar Youth Volleyball'!$A$78:$G$78,0))</f>
        <v>0</v>
      </c>
      <c r="I53" s="388">
        <f ca="1">INDEX(INDIRECT("'"&amp;$B$51&amp;"'!$A$78:$G$90"),MATCH(I$51,'Mar Youth Volleyball'!$A$78:$A$90,0),MATCH($B53,'Mar Youth Volleyball'!$A$78:$G$78,0))</f>
        <v>0</v>
      </c>
      <c r="J53" s="388">
        <f ca="1">INDEX(INDIRECT("'"&amp;$B$51&amp;"'!$A$78:$G$90"),MATCH(J$51,'Mar Youth Volleyball'!$A$78:$A$90,0),MATCH($B53,'Mar Youth Volleyball'!$A$78:$G$78,0))</f>
        <v>0</v>
      </c>
      <c r="K53" s="388">
        <f ca="1">INDEX(INDIRECT("'"&amp;$B$51&amp;"'!$A$78:$G$90"),MATCH(K$51,'Mar Youth Volleyball'!$A$78:$A$90,0),MATCH($B53,'Mar Youth Volleyball'!$A$78:$G$78,0))</f>
        <v>0</v>
      </c>
      <c r="L53" s="388">
        <f ca="1">INDEX(INDIRECT("'"&amp;$B$51&amp;"'!$A$78:$G$90"),MATCH(L$51,'Mar Youth Volleyball'!$A$78:$A$90,0),MATCH($B53,'Mar Youth Volleyball'!$A$78:$G$78,0))</f>
        <v>0</v>
      </c>
      <c r="M53" s="388">
        <f ca="1">INDEX(INDIRECT("'"&amp;$B$51&amp;"'!$A$78:$G$90"),MATCH(M$51,'Mar Youth Volleyball'!$A$78:$A$90,0),MATCH($B53,'Mar Youth Volleyball'!$A$78:$G$78,0))</f>
        <v>0</v>
      </c>
      <c r="N53" s="388">
        <f ca="1">INDEX(INDIRECT("'"&amp;$B$51&amp;"'!$A$78:$G$90"),MATCH(N$51,'Mar Youth Volleyball'!$A$78:$A$90,0),MATCH($B53,'Mar Youth Volleyball'!$A$78:$G$78,0))</f>
        <v>0</v>
      </c>
      <c r="O53" s="392"/>
    </row>
    <row r="54" spans="2:15" x14ac:dyDescent="0.25">
      <c r="B54" s="5" t="s">
        <v>18</v>
      </c>
      <c r="C54" s="388">
        <f ca="1">INDEX(INDIRECT("'"&amp;$B$51&amp;"'!$A$78:$G$90"),MATCH(C$51,'Mar Youth Volleyball'!$A$78:$A$90,0),MATCH($B54,'Mar Youth Volleyball'!$A$78:$G$78,0))</f>
        <v>0</v>
      </c>
      <c r="D54" s="388">
        <f ca="1">INDEX(INDIRECT("'"&amp;$B$51&amp;"'!$A$78:$G$90"),MATCH(D$51,'Mar Youth Volleyball'!$A$78:$A$90,0),MATCH($B54,'Mar Youth Volleyball'!$A$78:$G$78,0))</f>
        <v>0</v>
      </c>
      <c r="E54" s="388">
        <f ca="1">INDEX(INDIRECT("'"&amp;$B$51&amp;"'!$A$78:$G$90"),MATCH(E$51,'Mar Youth Volleyball'!$A$78:$A$90,0),MATCH($B54,'Mar Youth Volleyball'!$A$78:$G$78,0))</f>
        <v>0</v>
      </c>
      <c r="F54" s="388">
        <f ca="1">INDEX(INDIRECT("'"&amp;$B$51&amp;"'!$A$78:$G$90"),MATCH(F$51,'Mar Youth Volleyball'!$A$78:$A$90,0),MATCH($B54,'Mar Youth Volleyball'!$A$78:$G$78,0))</f>
        <v>0</v>
      </c>
      <c r="G54" s="388">
        <f ca="1">INDEX(INDIRECT("'"&amp;$B$51&amp;"'!$A$78:$G$90"),MATCH(G$51,'Mar Youth Volleyball'!$A$78:$A$90,0),MATCH($B54,'Mar Youth Volleyball'!$A$78:$G$78,0))</f>
        <v>600</v>
      </c>
      <c r="H54" s="388">
        <f ca="1">INDEX(INDIRECT("'"&amp;$B$51&amp;"'!$A$78:$G$90"),MATCH(H$51,'Mar Youth Volleyball'!$A$78:$A$90,0),MATCH($B54,'Mar Youth Volleyball'!$A$78:$G$78,0))</f>
        <v>0</v>
      </c>
      <c r="I54" s="388">
        <f ca="1">INDEX(INDIRECT("'"&amp;$B$51&amp;"'!$A$78:$G$90"),MATCH(I$51,'Mar Youth Volleyball'!$A$78:$A$90,0),MATCH($B54,'Mar Youth Volleyball'!$A$78:$G$78,0))</f>
        <v>0</v>
      </c>
      <c r="J54" s="388">
        <f ca="1">INDEX(INDIRECT("'"&amp;$B$51&amp;"'!$A$78:$G$90"),MATCH(J$51,'Mar Youth Volleyball'!$A$78:$A$90,0),MATCH($B54,'Mar Youth Volleyball'!$A$78:$G$78,0))</f>
        <v>0</v>
      </c>
      <c r="K54" s="388">
        <f ca="1">INDEX(INDIRECT("'"&amp;$B$51&amp;"'!$A$78:$G$90"),MATCH(K$51,'Mar Youth Volleyball'!$A$78:$A$90,0),MATCH($B54,'Mar Youth Volleyball'!$A$78:$G$78,0))</f>
        <v>0</v>
      </c>
      <c r="L54" s="388">
        <f ca="1">INDEX(INDIRECT("'"&amp;$B$51&amp;"'!$A$78:$G$90"),MATCH(L$51,'Mar Youth Volleyball'!$A$78:$A$90,0),MATCH($B54,'Mar Youth Volleyball'!$A$78:$G$78,0))</f>
        <v>0</v>
      </c>
      <c r="M54" s="388">
        <f ca="1">INDEX(INDIRECT("'"&amp;$B$51&amp;"'!$A$78:$G$90"),MATCH(M$51,'Mar Youth Volleyball'!$A$78:$A$90,0),MATCH($B54,'Mar Youth Volleyball'!$A$78:$G$78,0))</f>
        <v>0</v>
      </c>
      <c r="N54" s="388">
        <f ca="1">INDEX(INDIRECT("'"&amp;$B$51&amp;"'!$A$78:$G$90"),MATCH(N$51,'Mar Youth Volleyball'!$A$78:$A$90,0),MATCH($B54,'Mar Youth Volleyball'!$A$78:$G$78,0))</f>
        <v>0</v>
      </c>
      <c r="O54" s="392"/>
    </row>
    <row r="55" spans="2:15" x14ac:dyDescent="0.25">
      <c r="B55" s="5" t="s">
        <v>20</v>
      </c>
      <c r="C55" s="388">
        <f ca="1">INDEX(INDIRECT("'"&amp;$B$51&amp;"'!$A$78:$G$90"),MATCH(C$51,'Mar Youth Volleyball'!$A$78:$A$90,0),MATCH($B55,'Mar Youth Volleyball'!$A$78:$G$78,0))</f>
        <v>0</v>
      </c>
      <c r="D55" s="388">
        <f ca="1">INDEX(INDIRECT("'"&amp;$B$51&amp;"'!$A$78:$G$90"),MATCH(D$51,'Mar Youth Volleyball'!$A$78:$A$90,0),MATCH($B55,'Mar Youth Volleyball'!$A$78:$G$78,0))</f>
        <v>0</v>
      </c>
      <c r="E55" s="388">
        <f ca="1">INDEX(INDIRECT("'"&amp;$B$51&amp;"'!$A$78:$G$90"),MATCH(E$51,'Mar Youth Volleyball'!$A$78:$A$90,0),MATCH($B55,'Mar Youth Volleyball'!$A$78:$G$78,0))</f>
        <v>0</v>
      </c>
      <c r="F55" s="388">
        <f ca="1">INDEX(INDIRECT("'"&amp;$B$51&amp;"'!$A$78:$G$90"),MATCH(F$51,'Mar Youth Volleyball'!$A$78:$A$90,0),MATCH($B55,'Mar Youth Volleyball'!$A$78:$G$78,0))</f>
        <v>0</v>
      </c>
      <c r="G55" s="388">
        <f ca="1">INDEX(INDIRECT("'"&amp;$B$51&amp;"'!$A$78:$G$90"),MATCH(G$51,'Mar Youth Volleyball'!$A$78:$A$90,0),MATCH($B55,'Mar Youth Volleyball'!$A$78:$G$78,0))</f>
        <v>500</v>
      </c>
      <c r="H55" s="388">
        <f ca="1">INDEX(INDIRECT("'"&amp;$B$51&amp;"'!$A$78:$G$90"),MATCH(H$51,'Mar Youth Volleyball'!$A$78:$A$90,0),MATCH($B55,'Mar Youth Volleyball'!$A$78:$G$78,0))</f>
        <v>0</v>
      </c>
      <c r="I55" s="388">
        <f ca="1">INDEX(INDIRECT("'"&amp;$B$51&amp;"'!$A$78:$G$90"),MATCH(I$51,'Mar Youth Volleyball'!$A$78:$A$90,0),MATCH($B55,'Mar Youth Volleyball'!$A$78:$G$78,0))</f>
        <v>0</v>
      </c>
      <c r="J55" s="388">
        <f ca="1">INDEX(INDIRECT("'"&amp;$B$51&amp;"'!$A$78:$G$90"),MATCH(J$51,'Mar Youth Volleyball'!$A$78:$A$90,0),MATCH($B55,'Mar Youth Volleyball'!$A$78:$G$78,0))</f>
        <v>0</v>
      </c>
      <c r="K55" s="388">
        <f ca="1">INDEX(INDIRECT("'"&amp;$B$51&amp;"'!$A$78:$G$90"),MATCH(K$51,'Mar Youth Volleyball'!$A$78:$A$90,0),MATCH($B55,'Mar Youth Volleyball'!$A$78:$G$78,0))</f>
        <v>0</v>
      </c>
      <c r="L55" s="388">
        <f ca="1">INDEX(INDIRECT("'"&amp;$B$51&amp;"'!$A$78:$G$90"),MATCH(L$51,'Mar Youth Volleyball'!$A$78:$A$90,0),MATCH($B55,'Mar Youth Volleyball'!$A$78:$G$78,0))</f>
        <v>0</v>
      </c>
      <c r="M55" s="388">
        <f ca="1">INDEX(INDIRECT("'"&amp;$B$51&amp;"'!$A$78:$G$90"),MATCH(M$51,'Mar Youth Volleyball'!$A$78:$A$90,0),MATCH($B55,'Mar Youth Volleyball'!$A$78:$G$78,0))</f>
        <v>0</v>
      </c>
      <c r="N55" s="388">
        <f ca="1">INDEX(INDIRECT("'"&amp;$B$51&amp;"'!$A$78:$G$90"),MATCH(N$51,'Mar Youth Volleyball'!$A$78:$A$90,0),MATCH($B55,'Mar Youth Volleyball'!$A$78:$G$78,0))</f>
        <v>0</v>
      </c>
      <c r="O55" s="392"/>
    </row>
    <row r="56" spans="2:15" x14ac:dyDescent="0.25">
      <c r="B56" s="5" t="s">
        <v>24</v>
      </c>
      <c r="C56" s="388">
        <f ca="1">INDEX(INDIRECT("'"&amp;$B$51&amp;"'!$A$78:$G$90"),MATCH(C$51,'Mar Youth Volleyball'!$A$78:$A$90,0),MATCH($B56,'Mar Youth Volleyball'!$A$78:$G$78,0))</f>
        <v>0</v>
      </c>
      <c r="D56" s="388">
        <f ca="1">INDEX(INDIRECT("'"&amp;$B$51&amp;"'!$A$78:$G$90"),MATCH(D$51,'Mar Youth Volleyball'!$A$78:$A$90,0),MATCH($B56,'Mar Youth Volleyball'!$A$78:$G$78,0))</f>
        <v>0</v>
      </c>
      <c r="E56" s="388">
        <f ca="1">INDEX(INDIRECT("'"&amp;$B$51&amp;"'!$A$78:$G$90"),MATCH(E$51,'Mar Youth Volleyball'!$A$78:$A$90,0),MATCH($B56,'Mar Youth Volleyball'!$A$78:$G$78,0))</f>
        <v>0</v>
      </c>
      <c r="F56" s="388">
        <f ca="1">INDEX(INDIRECT("'"&amp;$B$51&amp;"'!$A$78:$G$90"),MATCH(F$51,'Mar Youth Volleyball'!$A$78:$A$90,0),MATCH($B56,'Mar Youth Volleyball'!$A$78:$G$78,0))</f>
        <v>0</v>
      </c>
      <c r="G56" s="388">
        <f ca="1">INDEX(INDIRECT("'"&amp;$B$51&amp;"'!$A$78:$G$90"),MATCH(G$51,'Mar Youth Volleyball'!$A$78:$A$90,0),MATCH($B56,'Mar Youth Volleyball'!$A$78:$G$78,0))</f>
        <v>0</v>
      </c>
      <c r="H56" s="388">
        <f ca="1">INDEX(INDIRECT("'"&amp;$B$51&amp;"'!$A$78:$G$90"),MATCH(H$51,'Mar Youth Volleyball'!$A$78:$A$90,0),MATCH($B56,'Mar Youth Volleyball'!$A$78:$G$78,0))</f>
        <v>0</v>
      </c>
      <c r="I56" s="388">
        <f ca="1">INDEX(INDIRECT("'"&amp;$B$51&amp;"'!$A$78:$G$90"),MATCH(I$51,'Mar Youth Volleyball'!$A$78:$A$90,0),MATCH($B56,'Mar Youth Volleyball'!$A$78:$G$78,0))</f>
        <v>0</v>
      </c>
      <c r="J56" s="388">
        <f ca="1">INDEX(INDIRECT("'"&amp;$B$51&amp;"'!$A$78:$G$90"),MATCH(J$51,'Mar Youth Volleyball'!$A$78:$A$90,0),MATCH($B56,'Mar Youth Volleyball'!$A$78:$G$78,0))</f>
        <v>0</v>
      </c>
      <c r="K56" s="388">
        <f ca="1">INDEX(INDIRECT("'"&amp;$B$51&amp;"'!$A$78:$G$90"),MATCH(K$51,'Mar Youth Volleyball'!$A$78:$A$90,0),MATCH($B56,'Mar Youth Volleyball'!$A$78:$G$78,0))</f>
        <v>0</v>
      </c>
      <c r="L56" s="388">
        <f ca="1">INDEX(INDIRECT("'"&amp;$B$51&amp;"'!$A$78:$G$90"),MATCH(L$51,'Mar Youth Volleyball'!$A$78:$A$90,0),MATCH($B56,'Mar Youth Volleyball'!$A$78:$G$78,0))</f>
        <v>0</v>
      </c>
      <c r="M56" s="388">
        <f ca="1">INDEX(INDIRECT("'"&amp;$B$51&amp;"'!$A$78:$G$90"),MATCH(M$51,'Mar Youth Volleyball'!$A$78:$A$90,0),MATCH($B56,'Mar Youth Volleyball'!$A$78:$G$78,0))</f>
        <v>0</v>
      </c>
      <c r="N56" s="388">
        <f ca="1">INDEX(INDIRECT("'"&amp;$B$51&amp;"'!$A$78:$G$90"),MATCH(N$51,'Mar Youth Volleyball'!$A$78:$A$90,0),MATCH($B56,'Mar Youth Volleyball'!$A$78:$G$78,0))</f>
        <v>0</v>
      </c>
      <c r="O56" s="392"/>
    </row>
    <row r="57" spans="2:15" x14ac:dyDescent="0.25">
      <c r="B57" s="5" t="s">
        <v>30</v>
      </c>
      <c r="C57" s="388">
        <f ca="1">INDEX(INDIRECT("'"&amp;$B$51&amp;"'!$A$78:$G$90"),MATCH(C$51,'Mar Youth Volleyball'!$A$78:$A$90,0),MATCH($B57,'Mar Youth Volleyball'!$A$78:$G$78,0))</f>
        <v>0</v>
      </c>
      <c r="D57" s="388">
        <f ca="1">INDEX(INDIRECT("'"&amp;$B$51&amp;"'!$A$78:$G$90"),MATCH(D$51,'Mar Youth Volleyball'!$A$78:$A$90,0),MATCH($B57,'Mar Youth Volleyball'!$A$78:$G$78,0))</f>
        <v>0</v>
      </c>
      <c r="E57" s="388">
        <f ca="1">INDEX(INDIRECT("'"&amp;$B$51&amp;"'!$A$78:$G$90"),MATCH(E$51,'Mar Youth Volleyball'!$A$78:$A$90,0),MATCH($B57,'Mar Youth Volleyball'!$A$78:$G$78,0))</f>
        <v>0</v>
      </c>
      <c r="F57" s="388">
        <f ca="1">INDEX(INDIRECT("'"&amp;$B$51&amp;"'!$A$78:$G$90"),MATCH(F$51,'Mar Youth Volleyball'!$A$78:$A$90,0),MATCH($B57,'Mar Youth Volleyball'!$A$78:$G$78,0))</f>
        <v>0</v>
      </c>
      <c r="G57" s="388">
        <f ca="1">INDEX(INDIRECT("'"&amp;$B$51&amp;"'!$A$78:$G$90"),MATCH(G$51,'Mar Youth Volleyball'!$A$78:$A$90,0),MATCH($B57,'Mar Youth Volleyball'!$A$78:$G$78,0))</f>
        <v>4126</v>
      </c>
      <c r="H57" s="388">
        <f ca="1">INDEX(INDIRECT("'"&amp;$B$51&amp;"'!$A$78:$G$90"),MATCH(H$51,'Mar Youth Volleyball'!$A$78:$A$90,0),MATCH($B57,'Mar Youth Volleyball'!$A$78:$G$78,0))</f>
        <v>0</v>
      </c>
      <c r="I57" s="388">
        <f ca="1">INDEX(INDIRECT("'"&amp;$B$51&amp;"'!$A$78:$G$90"),MATCH(I$51,'Mar Youth Volleyball'!$A$78:$A$90,0),MATCH($B57,'Mar Youth Volleyball'!$A$78:$G$78,0))</f>
        <v>0</v>
      </c>
      <c r="J57" s="388">
        <f ca="1">INDEX(INDIRECT("'"&amp;$B$51&amp;"'!$A$78:$G$90"),MATCH(J$51,'Mar Youth Volleyball'!$A$78:$A$90,0),MATCH($B57,'Mar Youth Volleyball'!$A$78:$G$78,0))</f>
        <v>0</v>
      </c>
      <c r="K57" s="388">
        <f ca="1">INDEX(INDIRECT("'"&amp;$B$51&amp;"'!$A$78:$G$90"),MATCH(K$51,'Mar Youth Volleyball'!$A$78:$A$90,0),MATCH($B57,'Mar Youth Volleyball'!$A$78:$G$78,0))</f>
        <v>0</v>
      </c>
      <c r="L57" s="388">
        <f ca="1">INDEX(INDIRECT("'"&amp;$B$51&amp;"'!$A$78:$G$90"),MATCH(L$51,'Mar Youth Volleyball'!$A$78:$A$90,0),MATCH($B57,'Mar Youth Volleyball'!$A$78:$G$78,0))</f>
        <v>0</v>
      </c>
      <c r="M57" s="388">
        <f ca="1">INDEX(INDIRECT("'"&amp;$B$51&amp;"'!$A$78:$G$90"),MATCH(M$51,'Mar Youth Volleyball'!$A$78:$A$90,0),MATCH($B57,'Mar Youth Volleyball'!$A$78:$G$78,0))</f>
        <v>0</v>
      </c>
      <c r="N57" s="388">
        <f ca="1">INDEX(INDIRECT("'"&amp;$B$51&amp;"'!$A$78:$G$90"),MATCH(N$51,'Mar Youth Volleyball'!$A$78:$A$90,0),MATCH($B57,'Mar Youth Volleyball'!$A$78:$G$78,0))</f>
        <v>0</v>
      </c>
      <c r="O57" s="392"/>
    </row>
    <row r="58" spans="2:15" x14ac:dyDescent="0.25">
      <c r="B58" s="5" t="s">
        <v>3</v>
      </c>
      <c r="C58" s="390">
        <f ca="1">SUBTOTAL(9,C53:C57)</f>
        <v>0</v>
      </c>
      <c r="D58" s="390">
        <f t="shared" ref="D58" ca="1" si="48">SUBTOTAL(9,D53:D57)</f>
        <v>0</v>
      </c>
      <c r="E58" s="390">
        <f t="shared" ref="E58" ca="1" si="49">SUBTOTAL(9,E53:E57)</f>
        <v>0</v>
      </c>
      <c r="F58" s="390">
        <f t="shared" ref="F58" ca="1" si="50">SUBTOTAL(9,F53:F57)</f>
        <v>0</v>
      </c>
      <c r="G58" s="390">
        <f t="shared" ref="G58" ca="1" si="51">SUBTOTAL(9,G53:G57)</f>
        <v>5226</v>
      </c>
      <c r="H58" s="390">
        <f t="shared" ref="H58" ca="1" si="52">SUBTOTAL(9,H53:H57)</f>
        <v>0</v>
      </c>
      <c r="I58" s="390">
        <f t="shared" ref="I58" ca="1" si="53">SUBTOTAL(9,I53:I57)</f>
        <v>0</v>
      </c>
      <c r="J58" s="390">
        <f t="shared" ref="J58" ca="1" si="54">SUBTOTAL(9,J53:J57)</f>
        <v>0</v>
      </c>
      <c r="K58" s="390">
        <f t="shared" ref="K58" ca="1" si="55">SUBTOTAL(9,K53:K57)</f>
        <v>0</v>
      </c>
      <c r="L58" s="390">
        <f t="shared" ref="L58" ca="1" si="56">SUBTOTAL(9,L53:L57)</f>
        <v>0</v>
      </c>
      <c r="M58" s="390">
        <f t="shared" ref="M58" ca="1" si="57">SUBTOTAL(9,M53:M57)</f>
        <v>0</v>
      </c>
      <c r="N58" s="390">
        <f t="shared" ref="N58" ca="1" si="58">SUBTOTAL(9,N53:N57)</f>
        <v>0</v>
      </c>
      <c r="O58" s="392"/>
    </row>
    <row r="59" spans="2:15" ht="15.75" thickBot="1" x14ac:dyDescent="0.3">
      <c r="C59" s="392"/>
      <c r="D59" s="392"/>
      <c r="E59" s="392"/>
      <c r="F59" s="392"/>
      <c r="G59" s="392"/>
      <c r="H59" s="392"/>
      <c r="I59" s="392"/>
      <c r="J59" s="392"/>
      <c r="K59" s="392"/>
      <c r="L59" s="392"/>
      <c r="M59" s="392"/>
      <c r="N59" s="392"/>
      <c r="O59" s="392"/>
    </row>
    <row r="60" spans="2:15" ht="15.75" thickBot="1" x14ac:dyDescent="0.3">
      <c r="B60" s="387" t="s">
        <v>386</v>
      </c>
      <c r="C60" s="389" t="s">
        <v>373</v>
      </c>
      <c r="D60" s="389" t="s">
        <v>349</v>
      </c>
      <c r="E60" s="389" t="s">
        <v>324</v>
      </c>
      <c r="F60" s="389" t="s">
        <v>339</v>
      </c>
      <c r="G60" s="389" t="s">
        <v>227</v>
      </c>
      <c r="H60" s="389" t="s">
        <v>341</v>
      </c>
      <c r="I60" s="389" t="s">
        <v>362</v>
      </c>
      <c r="J60" s="389" t="s">
        <v>344</v>
      </c>
      <c r="K60" s="389" t="s">
        <v>346</v>
      </c>
      <c r="L60" s="389" t="s">
        <v>374</v>
      </c>
      <c r="M60" s="389" t="s">
        <v>296</v>
      </c>
      <c r="N60" s="389" t="s">
        <v>348</v>
      </c>
      <c r="O60" s="392"/>
    </row>
    <row r="61" spans="2:15" x14ac:dyDescent="0.25">
      <c r="C61" s="392"/>
      <c r="D61" s="392"/>
      <c r="E61" s="392"/>
      <c r="F61" s="392"/>
      <c r="G61" s="392"/>
      <c r="H61" s="392"/>
      <c r="I61" s="392"/>
      <c r="J61" s="392"/>
      <c r="K61" s="392"/>
      <c r="L61" s="392"/>
      <c r="M61" s="392"/>
      <c r="N61" s="392"/>
      <c r="O61" s="392"/>
    </row>
    <row r="62" spans="2:15" x14ac:dyDescent="0.25">
      <c r="B62" s="5" t="s">
        <v>16</v>
      </c>
      <c r="C62" s="388">
        <f ca="1">INDEX(INDIRECT("'"&amp;$B$60&amp;"'!$A$78:$G$90"),MATCH(C$60,'Mar Youth Volleyball'!$A$78:$A$90,0),MATCH($B62,'Mar Youth Volleyball'!$A$78:$G$78,0))</f>
        <v>0</v>
      </c>
      <c r="D62" s="388">
        <f ca="1">INDEX(INDIRECT("'"&amp;$B$60&amp;"'!$A$78:$G$90"),MATCH(D$60,'Mar Youth Volleyball'!$A$78:$A$90,0),MATCH($B62,'Mar Youth Volleyball'!$A$78:$G$78,0))</f>
        <v>0</v>
      </c>
      <c r="E62" s="388">
        <f ca="1">INDEX(INDIRECT("'"&amp;$B$60&amp;"'!$A$78:$G$90"),MATCH(E$60,'Mar Youth Volleyball'!$A$78:$A$90,0),MATCH($B62,'Mar Youth Volleyball'!$A$78:$G$78,0))</f>
        <v>0</v>
      </c>
      <c r="F62" s="388">
        <f ca="1">INDEX(INDIRECT("'"&amp;$B$60&amp;"'!$A$78:$G$90"),MATCH(F$60,'Mar Youth Volleyball'!$A$78:$A$90,0),MATCH($B62,'Mar Youth Volleyball'!$A$78:$G$78,0))</f>
        <v>0</v>
      </c>
      <c r="G62" s="388">
        <f ca="1">INDEX(INDIRECT("'"&amp;$B$60&amp;"'!$A$78:$G$90"),MATCH(G$60,'Mar Youth Volleyball'!$A$78:$A$90,0),MATCH($B62,'Mar Youth Volleyball'!$A$78:$G$78,0))</f>
        <v>0</v>
      </c>
      <c r="H62" s="388">
        <f ca="1">INDEX(INDIRECT("'"&amp;$B$60&amp;"'!$A$78:$G$90"),MATCH(H$60,'Mar Youth Volleyball'!$A$78:$A$90,0),MATCH($B62,'Mar Youth Volleyball'!$A$78:$G$78,0))</f>
        <v>0</v>
      </c>
      <c r="I62" s="388">
        <f ca="1">INDEX(INDIRECT("'"&amp;$B$60&amp;"'!$A$78:$G$90"),MATCH(I$60,'Mar Youth Volleyball'!$A$78:$A$90,0),MATCH($B62,'Mar Youth Volleyball'!$A$78:$G$78,0))</f>
        <v>0</v>
      </c>
      <c r="J62" s="388">
        <f ca="1">INDEX(INDIRECT("'"&amp;$B$60&amp;"'!$A$78:$G$90"),MATCH(J$60,'Mar Youth Volleyball'!$A$78:$A$90,0),MATCH($B62,'Mar Youth Volleyball'!$A$78:$G$78,0))</f>
        <v>95</v>
      </c>
      <c r="K62" s="388">
        <f ca="1">INDEX(INDIRECT("'"&amp;$B$60&amp;"'!$A$78:$G$90"),MATCH(K$60,'Mar Youth Volleyball'!$A$78:$A$90,0),MATCH($B62,'Mar Youth Volleyball'!$A$78:$G$78,0))</f>
        <v>95</v>
      </c>
      <c r="L62" s="388">
        <f ca="1">INDEX(INDIRECT("'"&amp;$B$60&amp;"'!$A$78:$G$90"),MATCH(L$60,'Mar Youth Volleyball'!$A$78:$A$90,0),MATCH($B62,'Mar Youth Volleyball'!$A$78:$G$78,0))</f>
        <v>0</v>
      </c>
      <c r="M62" s="388">
        <f ca="1">INDEX(INDIRECT("'"&amp;$B$60&amp;"'!$A$78:$G$90"),MATCH(M$60,'Mar Youth Volleyball'!$A$78:$A$90,0),MATCH($B62,'Mar Youth Volleyball'!$A$78:$G$78,0))</f>
        <v>0</v>
      </c>
      <c r="N62" s="388">
        <f ca="1">INDEX(INDIRECT("'"&amp;$B$60&amp;"'!$A$78:$G$90"),MATCH(N$60,'Mar Youth Volleyball'!$A$78:$A$90,0),MATCH($B62,'Mar Youth Volleyball'!$A$78:$G$78,0))</f>
        <v>0</v>
      </c>
      <c r="O62" s="392"/>
    </row>
    <row r="63" spans="2:15" x14ac:dyDescent="0.25">
      <c r="B63" s="5" t="s">
        <v>18</v>
      </c>
      <c r="C63" s="388">
        <f ca="1">INDEX(INDIRECT("'"&amp;$B$60&amp;"'!$A$78:$G$90"),MATCH(C$60,'Mar Youth Volleyball'!$A$78:$A$90,0),MATCH($B63,'Mar Youth Volleyball'!$A$78:$G$78,0))</f>
        <v>0</v>
      </c>
      <c r="D63" s="388">
        <f ca="1">INDEX(INDIRECT("'"&amp;$B$60&amp;"'!$A$78:$G$90"),MATCH(D$60,'Mar Youth Volleyball'!$A$78:$A$90,0),MATCH($B63,'Mar Youth Volleyball'!$A$78:$G$78,0))</f>
        <v>0</v>
      </c>
      <c r="E63" s="388">
        <f ca="1">INDEX(INDIRECT("'"&amp;$B$60&amp;"'!$A$78:$G$90"),MATCH(E$60,'Mar Youth Volleyball'!$A$78:$A$90,0),MATCH($B63,'Mar Youth Volleyball'!$A$78:$G$78,0))</f>
        <v>0</v>
      </c>
      <c r="F63" s="388">
        <f ca="1">INDEX(INDIRECT("'"&amp;$B$60&amp;"'!$A$78:$G$90"),MATCH(F$60,'Mar Youth Volleyball'!$A$78:$A$90,0),MATCH($B63,'Mar Youth Volleyball'!$A$78:$G$78,0))</f>
        <v>0</v>
      </c>
      <c r="G63" s="388">
        <f ca="1">INDEX(INDIRECT("'"&amp;$B$60&amp;"'!$A$78:$G$90"),MATCH(G$60,'Mar Youth Volleyball'!$A$78:$A$90,0),MATCH($B63,'Mar Youth Volleyball'!$A$78:$G$78,0))</f>
        <v>0</v>
      </c>
      <c r="H63" s="388">
        <f ca="1">INDEX(INDIRECT("'"&amp;$B$60&amp;"'!$A$78:$G$90"),MATCH(H$60,'Mar Youth Volleyball'!$A$78:$A$90,0),MATCH($B63,'Mar Youth Volleyball'!$A$78:$G$78,0))</f>
        <v>0</v>
      </c>
      <c r="I63" s="388">
        <f ca="1">INDEX(INDIRECT("'"&amp;$B$60&amp;"'!$A$78:$G$90"),MATCH(I$60,'Mar Youth Volleyball'!$A$78:$A$90,0),MATCH($B63,'Mar Youth Volleyball'!$A$78:$G$78,0))</f>
        <v>0</v>
      </c>
      <c r="J63" s="388">
        <f ca="1">INDEX(INDIRECT("'"&amp;$B$60&amp;"'!$A$78:$G$90"),MATCH(J$60,'Mar Youth Volleyball'!$A$78:$A$90,0),MATCH($B63,'Mar Youth Volleyball'!$A$78:$G$78,0))</f>
        <v>598.5</v>
      </c>
      <c r="K63" s="388">
        <f ca="1">INDEX(INDIRECT("'"&amp;$B$60&amp;"'!$A$78:$G$90"),MATCH(K$60,'Mar Youth Volleyball'!$A$78:$A$90,0),MATCH($B63,'Mar Youth Volleyball'!$A$78:$G$78,0))</f>
        <v>0</v>
      </c>
      <c r="L63" s="388">
        <f ca="1">INDEX(INDIRECT("'"&amp;$B$60&amp;"'!$A$78:$G$90"),MATCH(L$60,'Mar Youth Volleyball'!$A$78:$A$90,0),MATCH($B63,'Mar Youth Volleyball'!$A$78:$G$78,0))</f>
        <v>0</v>
      </c>
      <c r="M63" s="388">
        <f ca="1">INDEX(INDIRECT("'"&amp;$B$60&amp;"'!$A$78:$G$90"),MATCH(M$60,'Mar Youth Volleyball'!$A$78:$A$90,0),MATCH($B63,'Mar Youth Volleyball'!$A$78:$G$78,0))</f>
        <v>0</v>
      </c>
      <c r="N63" s="388">
        <f ca="1">INDEX(INDIRECT("'"&amp;$B$60&amp;"'!$A$78:$G$90"),MATCH(N$60,'Mar Youth Volleyball'!$A$78:$A$90,0),MATCH($B63,'Mar Youth Volleyball'!$A$78:$G$78,0))</f>
        <v>0</v>
      </c>
      <c r="O63" s="392"/>
    </row>
    <row r="64" spans="2:15" x14ac:dyDescent="0.25">
      <c r="B64" s="5" t="s">
        <v>20</v>
      </c>
      <c r="C64" s="388">
        <f ca="1">INDEX(INDIRECT("'"&amp;$B$60&amp;"'!$A$78:$G$90"),MATCH(C$60,'Mar Youth Volleyball'!$A$78:$A$90,0),MATCH($B64,'Mar Youth Volleyball'!$A$78:$G$78,0))</f>
        <v>0</v>
      </c>
      <c r="D64" s="388">
        <f ca="1">INDEX(INDIRECT("'"&amp;$B$60&amp;"'!$A$78:$G$90"),MATCH(D$60,'Mar Youth Volleyball'!$A$78:$A$90,0),MATCH($B64,'Mar Youth Volleyball'!$A$78:$G$78,0))</f>
        <v>0</v>
      </c>
      <c r="E64" s="388">
        <f ca="1">INDEX(INDIRECT("'"&amp;$B$60&amp;"'!$A$78:$G$90"),MATCH(E$60,'Mar Youth Volleyball'!$A$78:$A$90,0),MATCH($B64,'Mar Youth Volleyball'!$A$78:$G$78,0))</f>
        <v>0</v>
      </c>
      <c r="F64" s="388">
        <f ca="1">INDEX(INDIRECT("'"&amp;$B$60&amp;"'!$A$78:$G$90"),MATCH(F$60,'Mar Youth Volleyball'!$A$78:$A$90,0),MATCH($B64,'Mar Youth Volleyball'!$A$78:$G$78,0))</f>
        <v>0</v>
      </c>
      <c r="G64" s="388">
        <f ca="1">INDEX(INDIRECT("'"&amp;$B$60&amp;"'!$A$78:$G$90"),MATCH(G$60,'Mar Youth Volleyball'!$A$78:$A$90,0),MATCH($B64,'Mar Youth Volleyball'!$A$78:$G$78,0))</f>
        <v>0</v>
      </c>
      <c r="H64" s="388">
        <f ca="1">INDEX(INDIRECT("'"&amp;$B$60&amp;"'!$A$78:$G$90"),MATCH(H$60,'Mar Youth Volleyball'!$A$78:$A$90,0),MATCH($B64,'Mar Youth Volleyball'!$A$78:$G$78,0))</f>
        <v>0</v>
      </c>
      <c r="I64" s="388">
        <f ca="1">INDEX(INDIRECT("'"&amp;$B$60&amp;"'!$A$78:$G$90"),MATCH(I$60,'Mar Youth Volleyball'!$A$78:$A$90,0),MATCH($B64,'Mar Youth Volleyball'!$A$78:$G$78,0))</f>
        <v>0</v>
      </c>
      <c r="J64" s="388">
        <f ca="1">INDEX(INDIRECT("'"&amp;$B$60&amp;"'!$A$78:$G$90"),MATCH(J$60,'Mar Youth Volleyball'!$A$78:$A$90,0),MATCH($B64,'Mar Youth Volleyball'!$A$78:$G$78,0))</f>
        <v>365</v>
      </c>
      <c r="K64" s="388">
        <f ca="1">INDEX(INDIRECT("'"&amp;$B$60&amp;"'!$A$78:$G$90"),MATCH(K$60,'Mar Youth Volleyball'!$A$78:$A$90,0),MATCH($B64,'Mar Youth Volleyball'!$A$78:$G$78,0))</f>
        <v>0</v>
      </c>
      <c r="L64" s="388">
        <f ca="1">INDEX(INDIRECT("'"&amp;$B$60&amp;"'!$A$78:$G$90"),MATCH(L$60,'Mar Youth Volleyball'!$A$78:$A$90,0),MATCH($B64,'Mar Youth Volleyball'!$A$78:$G$78,0))</f>
        <v>0</v>
      </c>
      <c r="M64" s="388">
        <f ca="1">INDEX(INDIRECT("'"&amp;$B$60&amp;"'!$A$78:$G$90"),MATCH(M$60,'Mar Youth Volleyball'!$A$78:$A$90,0),MATCH($B64,'Mar Youth Volleyball'!$A$78:$G$78,0))</f>
        <v>0</v>
      </c>
      <c r="N64" s="388">
        <f ca="1">INDEX(INDIRECT("'"&amp;$B$60&amp;"'!$A$78:$G$90"),MATCH(N$60,'Mar Youth Volleyball'!$A$78:$A$90,0),MATCH($B64,'Mar Youth Volleyball'!$A$78:$G$78,0))</f>
        <v>0</v>
      </c>
      <c r="O64" s="392"/>
    </row>
    <row r="65" spans="2:15" x14ac:dyDescent="0.25">
      <c r="B65" s="5" t="s">
        <v>24</v>
      </c>
      <c r="C65" s="388">
        <f ca="1">INDEX(INDIRECT("'"&amp;$B$60&amp;"'!$A$78:$G$90"),MATCH(C$60,'Mar Youth Volleyball'!$A$78:$A$90,0),MATCH($B65,'Mar Youth Volleyball'!$A$78:$G$78,0))</f>
        <v>0</v>
      </c>
      <c r="D65" s="388">
        <f ca="1">INDEX(INDIRECT("'"&amp;$B$60&amp;"'!$A$78:$G$90"),MATCH(D$60,'Mar Youth Volleyball'!$A$78:$A$90,0),MATCH($B65,'Mar Youth Volleyball'!$A$78:$G$78,0))</f>
        <v>0</v>
      </c>
      <c r="E65" s="388">
        <f ca="1">INDEX(INDIRECT("'"&amp;$B$60&amp;"'!$A$78:$G$90"),MATCH(E$60,'Mar Youth Volleyball'!$A$78:$A$90,0),MATCH($B65,'Mar Youth Volleyball'!$A$78:$G$78,0))</f>
        <v>0</v>
      </c>
      <c r="F65" s="388">
        <f ca="1">INDEX(INDIRECT("'"&amp;$B$60&amp;"'!$A$78:$G$90"),MATCH(F$60,'Mar Youth Volleyball'!$A$78:$A$90,0),MATCH($B65,'Mar Youth Volleyball'!$A$78:$G$78,0))</f>
        <v>0</v>
      </c>
      <c r="G65" s="388">
        <f ca="1">INDEX(INDIRECT("'"&amp;$B$60&amp;"'!$A$78:$G$90"),MATCH(G$60,'Mar Youth Volleyball'!$A$78:$A$90,0),MATCH($B65,'Mar Youth Volleyball'!$A$78:$G$78,0))</f>
        <v>0</v>
      </c>
      <c r="H65" s="388">
        <f ca="1">INDEX(INDIRECT("'"&amp;$B$60&amp;"'!$A$78:$G$90"),MATCH(H$60,'Mar Youth Volleyball'!$A$78:$A$90,0),MATCH($B65,'Mar Youth Volleyball'!$A$78:$G$78,0))</f>
        <v>0</v>
      </c>
      <c r="I65" s="388">
        <f ca="1">INDEX(INDIRECT("'"&amp;$B$60&amp;"'!$A$78:$G$90"),MATCH(I$60,'Mar Youth Volleyball'!$A$78:$A$90,0),MATCH($B65,'Mar Youth Volleyball'!$A$78:$G$78,0))</f>
        <v>0</v>
      </c>
      <c r="J65" s="388">
        <f ca="1">INDEX(INDIRECT("'"&amp;$B$60&amp;"'!$A$78:$G$90"),MATCH(J$60,'Mar Youth Volleyball'!$A$78:$A$90,0),MATCH($B65,'Mar Youth Volleyball'!$A$78:$G$78,0))</f>
        <v>722</v>
      </c>
      <c r="K65" s="388">
        <f ca="1">INDEX(INDIRECT("'"&amp;$B$60&amp;"'!$A$78:$G$90"),MATCH(K$60,'Mar Youth Volleyball'!$A$78:$A$90,0),MATCH($B65,'Mar Youth Volleyball'!$A$78:$G$78,0))</f>
        <v>0</v>
      </c>
      <c r="L65" s="388">
        <f ca="1">INDEX(INDIRECT("'"&amp;$B$60&amp;"'!$A$78:$G$90"),MATCH(L$60,'Mar Youth Volleyball'!$A$78:$A$90,0),MATCH($B65,'Mar Youth Volleyball'!$A$78:$G$78,0))</f>
        <v>0</v>
      </c>
      <c r="M65" s="388">
        <f ca="1">INDEX(INDIRECT("'"&amp;$B$60&amp;"'!$A$78:$G$90"),MATCH(M$60,'Mar Youth Volleyball'!$A$78:$A$90,0),MATCH($B65,'Mar Youth Volleyball'!$A$78:$G$78,0))</f>
        <v>0</v>
      </c>
      <c r="N65" s="388">
        <f ca="1">INDEX(INDIRECT("'"&amp;$B$60&amp;"'!$A$78:$G$90"),MATCH(N$60,'Mar Youth Volleyball'!$A$78:$A$90,0),MATCH($B65,'Mar Youth Volleyball'!$A$78:$G$78,0))</f>
        <v>0</v>
      </c>
      <c r="O65" s="392"/>
    </row>
    <row r="66" spans="2:15" x14ac:dyDescent="0.25">
      <c r="B66" s="5" t="s">
        <v>30</v>
      </c>
      <c r="C66" s="388">
        <f ca="1">INDEX(INDIRECT("'"&amp;$B$60&amp;"'!$A$78:$G$90"),MATCH(C$60,'Mar Youth Volleyball'!$A$78:$A$90,0),MATCH($B66,'Mar Youth Volleyball'!$A$78:$G$78,0))</f>
        <v>0</v>
      </c>
      <c r="D66" s="388">
        <f ca="1">INDEX(INDIRECT("'"&amp;$B$60&amp;"'!$A$78:$G$90"),MATCH(D$60,'Mar Youth Volleyball'!$A$78:$A$90,0),MATCH($B66,'Mar Youth Volleyball'!$A$78:$G$78,0))</f>
        <v>0</v>
      </c>
      <c r="E66" s="388">
        <f ca="1">INDEX(INDIRECT("'"&amp;$B$60&amp;"'!$A$78:$G$90"),MATCH(E$60,'Mar Youth Volleyball'!$A$78:$A$90,0),MATCH($B66,'Mar Youth Volleyball'!$A$78:$G$78,0))</f>
        <v>0</v>
      </c>
      <c r="F66" s="388">
        <f ca="1">INDEX(INDIRECT("'"&amp;$B$60&amp;"'!$A$78:$G$90"),MATCH(F$60,'Mar Youth Volleyball'!$A$78:$A$90,0),MATCH($B66,'Mar Youth Volleyball'!$A$78:$G$78,0))</f>
        <v>0</v>
      </c>
      <c r="G66" s="388">
        <f ca="1">INDEX(INDIRECT("'"&amp;$B$60&amp;"'!$A$78:$G$90"),MATCH(G$60,'Mar Youth Volleyball'!$A$78:$A$90,0),MATCH($B66,'Mar Youth Volleyball'!$A$78:$G$78,0))</f>
        <v>0</v>
      </c>
      <c r="H66" s="388">
        <f ca="1">INDEX(INDIRECT("'"&amp;$B$60&amp;"'!$A$78:$G$90"),MATCH(H$60,'Mar Youth Volleyball'!$A$78:$A$90,0),MATCH($B66,'Mar Youth Volleyball'!$A$78:$G$78,0))</f>
        <v>0</v>
      </c>
      <c r="I66" s="388">
        <f ca="1">INDEX(INDIRECT("'"&amp;$B$60&amp;"'!$A$78:$G$90"),MATCH(I$60,'Mar Youth Volleyball'!$A$78:$A$90,0),MATCH($B66,'Mar Youth Volleyball'!$A$78:$G$78,0))</f>
        <v>0</v>
      </c>
      <c r="J66" s="388">
        <f ca="1">INDEX(INDIRECT("'"&amp;$B$60&amp;"'!$A$78:$G$90"),MATCH(J$60,'Mar Youth Volleyball'!$A$78:$A$90,0),MATCH($B66,'Mar Youth Volleyball'!$A$78:$G$78,0))</f>
        <v>420</v>
      </c>
      <c r="K66" s="388">
        <f ca="1">INDEX(INDIRECT("'"&amp;$B$60&amp;"'!$A$78:$G$90"),MATCH(K$60,'Mar Youth Volleyball'!$A$78:$A$90,0),MATCH($B66,'Mar Youth Volleyball'!$A$78:$G$78,0))</f>
        <v>0</v>
      </c>
      <c r="L66" s="388">
        <f ca="1">INDEX(INDIRECT("'"&amp;$B$60&amp;"'!$A$78:$G$90"),MATCH(L$60,'Mar Youth Volleyball'!$A$78:$A$90,0),MATCH($B66,'Mar Youth Volleyball'!$A$78:$G$78,0))</f>
        <v>0</v>
      </c>
      <c r="M66" s="388">
        <f ca="1">INDEX(INDIRECT("'"&amp;$B$60&amp;"'!$A$78:$G$90"),MATCH(M$60,'Mar Youth Volleyball'!$A$78:$A$90,0),MATCH($B66,'Mar Youth Volleyball'!$A$78:$G$78,0))</f>
        <v>0</v>
      </c>
      <c r="N66" s="388">
        <f ca="1">INDEX(INDIRECT("'"&amp;$B$60&amp;"'!$A$78:$G$90"),MATCH(N$60,'Mar Youth Volleyball'!$A$78:$A$90,0),MATCH($B66,'Mar Youth Volleyball'!$A$78:$G$78,0))</f>
        <v>0</v>
      </c>
      <c r="O66" s="392"/>
    </row>
    <row r="67" spans="2:15" x14ac:dyDescent="0.25">
      <c r="B67" s="5" t="s">
        <v>3</v>
      </c>
      <c r="C67" s="390">
        <f ca="1">SUBTOTAL(9,C62:C66)</f>
        <v>0</v>
      </c>
      <c r="D67" s="390">
        <f t="shared" ref="D67" ca="1" si="59">SUBTOTAL(9,D62:D66)</f>
        <v>0</v>
      </c>
      <c r="E67" s="390">
        <f t="shared" ref="E67" ca="1" si="60">SUBTOTAL(9,E62:E66)</f>
        <v>0</v>
      </c>
      <c r="F67" s="390">
        <f t="shared" ref="F67" ca="1" si="61">SUBTOTAL(9,F62:F66)</f>
        <v>0</v>
      </c>
      <c r="G67" s="390">
        <f t="shared" ref="G67" ca="1" si="62">SUBTOTAL(9,G62:G66)</f>
        <v>0</v>
      </c>
      <c r="H67" s="390">
        <f t="shared" ref="H67" ca="1" si="63">SUBTOTAL(9,H62:H66)</f>
        <v>0</v>
      </c>
      <c r="I67" s="390">
        <f t="shared" ref="I67" ca="1" si="64">SUBTOTAL(9,I62:I66)</f>
        <v>0</v>
      </c>
      <c r="J67" s="390">
        <f t="shared" ref="J67" ca="1" si="65">SUBTOTAL(9,J62:J66)</f>
        <v>2200.5</v>
      </c>
      <c r="K67" s="390">
        <f t="shared" ref="K67" ca="1" si="66">SUBTOTAL(9,K62:K66)</f>
        <v>95</v>
      </c>
      <c r="L67" s="390">
        <f t="shared" ref="L67" ca="1" si="67">SUBTOTAL(9,L62:L66)</f>
        <v>0</v>
      </c>
      <c r="M67" s="390">
        <f t="shared" ref="M67" ca="1" si="68">SUBTOTAL(9,M62:M66)</f>
        <v>0</v>
      </c>
      <c r="N67" s="390">
        <f t="shared" ref="N67" ca="1" si="69">SUBTOTAL(9,N62:N66)</f>
        <v>0</v>
      </c>
      <c r="O67" s="392"/>
    </row>
    <row r="68" spans="2:15" ht="15.75" thickBot="1" x14ac:dyDescent="0.3">
      <c r="C68" s="392"/>
      <c r="D68" s="392"/>
      <c r="E68" s="392"/>
      <c r="F68" s="392"/>
      <c r="G68" s="392"/>
      <c r="H68" s="392"/>
      <c r="I68" s="392"/>
      <c r="J68" s="392"/>
      <c r="K68" s="392"/>
      <c r="L68" s="392"/>
      <c r="M68" s="392"/>
      <c r="N68" s="392"/>
      <c r="O68" s="392"/>
    </row>
    <row r="69" spans="2:15" ht="15.75" thickBot="1" x14ac:dyDescent="0.3">
      <c r="B69" s="387" t="s">
        <v>387</v>
      </c>
      <c r="C69" s="389" t="s">
        <v>373</v>
      </c>
      <c r="D69" s="389" t="s">
        <v>349</v>
      </c>
      <c r="E69" s="389" t="s">
        <v>324</v>
      </c>
      <c r="F69" s="389" t="s">
        <v>339</v>
      </c>
      <c r="G69" s="389" t="s">
        <v>227</v>
      </c>
      <c r="H69" s="389" t="s">
        <v>341</v>
      </c>
      <c r="I69" s="389" t="s">
        <v>362</v>
      </c>
      <c r="J69" s="389" t="s">
        <v>344</v>
      </c>
      <c r="K69" s="389" t="s">
        <v>346</v>
      </c>
      <c r="L69" s="389" t="s">
        <v>374</v>
      </c>
      <c r="M69" s="389" t="s">
        <v>296</v>
      </c>
      <c r="N69" s="389" t="s">
        <v>348</v>
      </c>
      <c r="O69" s="392"/>
    </row>
    <row r="70" spans="2:15" x14ac:dyDescent="0.25">
      <c r="C70" s="392"/>
      <c r="D70" s="392"/>
      <c r="E70" s="392"/>
      <c r="F70" s="392"/>
      <c r="G70" s="392"/>
      <c r="H70" s="392"/>
      <c r="I70" s="392"/>
      <c r="J70" s="392"/>
      <c r="K70" s="392"/>
      <c r="L70" s="392"/>
      <c r="M70" s="392"/>
      <c r="N70" s="392"/>
      <c r="O70" s="392"/>
    </row>
    <row r="71" spans="2:15" x14ac:dyDescent="0.25">
      <c r="B71" s="5" t="s">
        <v>16</v>
      </c>
      <c r="C71" s="388">
        <f ca="1">INDEX(INDIRECT("'"&amp;$B$69&amp;"'!$A$78:$G$90"),MATCH(C$69,'Mar Youth Volleyball'!$A$78:$A$90,0),MATCH($B71,'Mar Youth Volleyball'!$A$78:$G$78,0))</f>
        <v>566.66666666666663</v>
      </c>
      <c r="D71" s="388">
        <f ca="1">INDEX(INDIRECT("'"&amp;$B$69&amp;"'!$A$78:$G$90"),MATCH(D$69,'Mar Youth Volleyball'!$A$78:$A$90,0),MATCH($B71,'Mar Youth Volleyball'!$A$78:$G$78,0))</f>
        <v>566.66666666666663</v>
      </c>
      <c r="E71" s="388">
        <f ca="1">INDEX(INDIRECT("'"&amp;$B$69&amp;"'!$A$78:$G$90"),MATCH(E$69,'Mar Youth Volleyball'!$A$78:$A$90,0),MATCH($B71,'Mar Youth Volleyball'!$A$78:$G$78,0))</f>
        <v>0</v>
      </c>
      <c r="F71" s="388">
        <f ca="1">INDEX(INDIRECT("'"&amp;$B$69&amp;"'!$A$78:$G$90"),MATCH(F$69,'Mar Youth Volleyball'!$A$78:$A$90,0),MATCH($B71,'Mar Youth Volleyball'!$A$78:$G$78,0))</f>
        <v>0</v>
      </c>
      <c r="G71" s="388">
        <f ca="1">INDEX(INDIRECT("'"&amp;$B$69&amp;"'!$A$78:$G$90"),MATCH(G$69,'Mar Youth Volleyball'!$A$78:$A$90,0),MATCH($B71,'Mar Youth Volleyball'!$A$78:$G$78,0))</f>
        <v>0</v>
      </c>
      <c r="H71" s="388">
        <f ca="1">INDEX(INDIRECT("'"&amp;$B$69&amp;"'!$A$78:$G$90"),MATCH(H$69,'Mar Youth Volleyball'!$A$78:$A$90,0),MATCH($B71,'Mar Youth Volleyball'!$A$78:$G$78,0))</f>
        <v>0</v>
      </c>
      <c r="I71" s="388">
        <f ca="1">INDEX(INDIRECT("'"&amp;$B$69&amp;"'!$A$78:$G$90"),MATCH(I$69,'Mar Youth Volleyball'!$A$78:$A$90,0),MATCH($B71,'Mar Youth Volleyball'!$A$78:$G$78,0))</f>
        <v>0</v>
      </c>
      <c r="J71" s="388">
        <f ca="1">INDEX(INDIRECT("'"&amp;$B$69&amp;"'!$A$78:$G$90"),MATCH(J$69,'Mar Youth Volleyball'!$A$78:$A$90,0),MATCH($B71,'Mar Youth Volleyball'!$A$78:$G$78,0))</f>
        <v>0</v>
      </c>
      <c r="K71" s="388">
        <f ca="1">INDEX(INDIRECT("'"&amp;$B$69&amp;"'!$A$78:$G$90"),MATCH(K$69,'Mar Youth Volleyball'!$A$78:$A$90,0),MATCH($B71,'Mar Youth Volleyball'!$A$78:$G$78,0))</f>
        <v>0</v>
      </c>
      <c r="L71" s="388">
        <f ca="1">INDEX(INDIRECT("'"&amp;$B$69&amp;"'!$A$78:$G$90"),MATCH(L$69,'Mar Youth Volleyball'!$A$78:$A$90,0),MATCH($B71,'Mar Youth Volleyball'!$A$78:$G$78,0))</f>
        <v>0</v>
      </c>
      <c r="M71" s="388">
        <f ca="1">INDEX(INDIRECT("'"&amp;$B$69&amp;"'!$A$78:$G$90"),MATCH(M$69,'Mar Youth Volleyball'!$A$78:$A$90,0),MATCH($B71,'Mar Youth Volleyball'!$A$78:$G$78,0))</f>
        <v>0</v>
      </c>
      <c r="N71" s="388">
        <f ca="1">INDEX(INDIRECT("'"&amp;$B$69&amp;"'!$A$78:$G$90"),MATCH(N$69,'Mar Youth Volleyball'!$A$78:$A$90,0),MATCH($B71,'Mar Youth Volleyball'!$A$78:$G$78,0))</f>
        <v>566.66666666666663</v>
      </c>
      <c r="O71" s="392"/>
    </row>
    <row r="72" spans="2:15" x14ac:dyDescent="0.25">
      <c r="B72" s="5" t="s">
        <v>18</v>
      </c>
      <c r="C72" s="388">
        <f ca="1">INDEX(INDIRECT("'"&amp;$B$69&amp;"'!$A$78:$G$90"),MATCH(C$69,'Mar Youth Volleyball'!$A$78:$A$90,0),MATCH($B72,'Mar Youth Volleyball'!$A$78:$G$78,0))</f>
        <v>0</v>
      </c>
      <c r="D72" s="388">
        <f ca="1">INDEX(INDIRECT("'"&amp;$B$69&amp;"'!$A$78:$G$90"),MATCH(D$69,'Mar Youth Volleyball'!$A$78:$A$90,0),MATCH($B72,'Mar Youth Volleyball'!$A$78:$G$78,0))</f>
        <v>1800</v>
      </c>
      <c r="E72" s="388">
        <f ca="1">INDEX(INDIRECT("'"&amp;$B$69&amp;"'!$A$78:$G$90"),MATCH(E$69,'Mar Youth Volleyball'!$A$78:$A$90,0),MATCH($B72,'Mar Youth Volleyball'!$A$78:$G$78,0))</f>
        <v>0</v>
      </c>
      <c r="F72" s="388">
        <f ca="1">INDEX(INDIRECT("'"&amp;$B$69&amp;"'!$A$78:$G$90"),MATCH(F$69,'Mar Youth Volleyball'!$A$78:$A$90,0),MATCH($B72,'Mar Youth Volleyball'!$A$78:$G$78,0))</f>
        <v>0</v>
      </c>
      <c r="G72" s="388">
        <f ca="1">INDEX(INDIRECT("'"&amp;$B$69&amp;"'!$A$78:$G$90"),MATCH(G$69,'Mar Youth Volleyball'!$A$78:$A$90,0),MATCH($B72,'Mar Youth Volleyball'!$A$78:$G$78,0))</f>
        <v>0</v>
      </c>
      <c r="H72" s="388">
        <f ca="1">INDEX(INDIRECT("'"&amp;$B$69&amp;"'!$A$78:$G$90"),MATCH(H$69,'Mar Youth Volleyball'!$A$78:$A$90,0),MATCH($B72,'Mar Youth Volleyball'!$A$78:$G$78,0))</f>
        <v>0</v>
      </c>
      <c r="I72" s="388">
        <f ca="1">INDEX(INDIRECT("'"&amp;$B$69&amp;"'!$A$78:$G$90"),MATCH(I$69,'Mar Youth Volleyball'!$A$78:$A$90,0),MATCH($B72,'Mar Youth Volleyball'!$A$78:$G$78,0))</f>
        <v>0</v>
      </c>
      <c r="J72" s="388">
        <f ca="1">INDEX(INDIRECT("'"&amp;$B$69&amp;"'!$A$78:$G$90"),MATCH(J$69,'Mar Youth Volleyball'!$A$78:$A$90,0),MATCH($B72,'Mar Youth Volleyball'!$A$78:$G$78,0))</f>
        <v>0</v>
      </c>
      <c r="K72" s="388">
        <f ca="1">INDEX(INDIRECT("'"&amp;$B$69&amp;"'!$A$78:$G$90"),MATCH(K$69,'Mar Youth Volleyball'!$A$78:$A$90,0),MATCH($B72,'Mar Youth Volleyball'!$A$78:$G$78,0))</f>
        <v>0</v>
      </c>
      <c r="L72" s="388">
        <f ca="1">INDEX(INDIRECT("'"&amp;$B$69&amp;"'!$A$78:$G$90"),MATCH(L$69,'Mar Youth Volleyball'!$A$78:$A$90,0),MATCH($B72,'Mar Youth Volleyball'!$A$78:$G$78,0))</f>
        <v>0</v>
      </c>
      <c r="M72" s="388">
        <f ca="1">INDEX(INDIRECT("'"&amp;$B$69&amp;"'!$A$78:$G$90"),MATCH(M$69,'Mar Youth Volleyball'!$A$78:$A$90,0),MATCH($B72,'Mar Youth Volleyball'!$A$78:$G$78,0))</f>
        <v>0</v>
      </c>
      <c r="N72" s="388">
        <f ca="1">INDEX(INDIRECT("'"&amp;$B$69&amp;"'!$A$78:$G$90"),MATCH(N$69,'Mar Youth Volleyball'!$A$78:$A$90,0),MATCH($B72,'Mar Youth Volleyball'!$A$78:$G$78,0))</f>
        <v>0</v>
      </c>
      <c r="O72" s="392"/>
    </row>
    <row r="73" spans="2:15" x14ac:dyDescent="0.25">
      <c r="B73" s="5" t="s">
        <v>20</v>
      </c>
      <c r="C73" s="388">
        <f ca="1">INDEX(INDIRECT("'"&amp;$B$69&amp;"'!$A$78:$G$90"),MATCH(C$69,'Mar Youth Volleyball'!$A$78:$A$90,0),MATCH($B73,'Mar Youth Volleyball'!$A$78:$G$78,0))</f>
        <v>0</v>
      </c>
      <c r="D73" s="388">
        <f ca="1">INDEX(INDIRECT("'"&amp;$B$69&amp;"'!$A$78:$G$90"),MATCH(D$69,'Mar Youth Volleyball'!$A$78:$A$90,0),MATCH($B73,'Mar Youth Volleyball'!$A$78:$G$78,0))</f>
        <v>900</v>
      </c>
      <c r="E73" s="388">
        <f ca="1">INDEX(INDIRECT("'"&amp;$B$69&amp;"'!$A$78:$G$90"),MATCH(E$69,'Mar Youth Volleyball'!$A$78:$A$90,0),MATCH($B73,'Mar Youth Volleyball'!$A$78:$G$78,0))</f>
        <v>0</v>
      </c>
      <c r="F73" s="388">
        <f ca="1">INDEX(INDIRECT("'"&amp;$B$69&amp;"'!$A$78:$G$90"),MATCH(F$69,'Mar Youth Volleyball'!$A$78:$A$90,0),MATCH($B73,'Mar Youth Volleyball'!$A$78:$G$78,0))</f>
        <v>0</v>
      </c>
      <c r="G73" s="388">
        <f ca="1">INDEX(INDIRECT("'"&amp;$B$69&amp;"'!$A$78:$G$90"),MATCH(G$69,'Mar Youth Volleyball'!$A$78:$A$90,0),MATCH($B73,'Mar Youth Volleyball'!$A$78:$G$78,0))</f>
        <v>0</v>
      </c>
      <c r="H73" s="388">
        <f ca="1">INDEX(INDIRECT("'"&amp;$B$69&amp;"'!$A$78:$G$90"),MATCH(H$69,'Mar Youth Volleyball'!$A$78:$A$90,0),MATCH($B73,'Mar Youth Volleyball'!$A$78:$G$78,0))</f>
        <v>0</v>
      </c>
      <c r="I73" s="388">
        <f ca="1">INDEX(INDIRECT("'"&amp;$B$69&amp;"'!$A$78:$G$90"),MATCH(I$69,'Mar Youth Volleyball'!$A$78:$A$90,0),MATCH($B73,'Mar Youth Volleyball'!$A$78:$G$78,0))</f>
        <v>0</v>
      </c>
      <c r="J73" s="388">
        <f ca="1">INDEX(INDIRECT("'"&amp;$B$69&amp;"'!$A$78:$G$90"),MATCH(J$69,'Mar Youth Volleyball'!$A$78:$A$90,0),MATCH($B73,'Mar Youth Volleyball'!$A$78:$G$78,0))</f>
        <v>0</v>
      </c>
      <c r="K73" s="388">
        <f ca="1">INDEX(INDIRECT("'"&amp;$B$69&amp;"'!$A$78:$G$90"),MATCH(K$69,'Mar Youth Volleyball'!$A$78:$A$90,0),MATCH($B73,'Mar Youth Volleyball'!$A$78:$G$78,0))</f>
        <v>0</v>
      </c>
      <c r="L73" s="388">
        <f ca="1">INDEX(INDIRECT("'"&amp;$B$69&amp;"'!$A$78:$G$90"),MATCH(L$69,'Mar Youth Volleyball'!$A$78:$A$90,0),MATCH($B73,'Mar Youth Volleyball'!$A$78:$G$78,0))</f>
        <v>0</v>
      </c>
      <c r="M73" s="388">
        <f ca="1">INDEX(INDIRECT("'"&amp;$B$69&amp;"'!$A$78:$G$90"),MATCH(M$69,'Mar Youth Volleyball'!$A$78:$A$90,0),MATCH($B73,'Mar Youth Volleyball'!$A$78:$G$78,0))</f>
        <v>0</v>
      </c>
      <c r="N73" s="388">
        <f ca="1">INDEX(INDIRECT("'"&amp;$B$69&amp;"'!$A$78:$G$90"),MATCH(N$69,'Mar Youth Volleyball'!$A$78:$A$90,0),MATCH($B73,'Mar Youth Volleyball'!$A$78:$G$78,0))</f>
        <v>0</v>
      </c>
      <c r="O73" s="392"/>
    </row>
    <row r="74" spans="2:15" x14ac:dyDescent="0.25">
      <c r="B74" s="5" t="s">
        <v>24</v>
      </c>
      <c r="C74" s="388">
        <f ca="1">INDEX(INDIRECT("'"&amp;$B$69&amp;"'!$A$78:$G$90"),MATCH(C$69,'Mar Youth Volleyball'!$A$78:$A$90,0),MATCH($B74,'Mar Youth Volleyball'!$A$78:$G$78,0))</f>
        <v>0</v>
      </c>
      <c r="D74" s="388">
        <f ca="1">INDEX(INDIRECT("'"&amp;$B$69&amp;"'!$A$78:$G$90"),MATCH(D$69,'Mar Youth Volleyball'!$A$78:$A$90,0),MATCH($B74,'Mar Youth Volleyball'!$A$78:$G$78,0))</f>
        <v>0</v>
      </c>
      <c r="E74" s="388">
        <f ca="1">INDEX(INDIRECT("'"&amp;$B$69&amp;"'!$A$78:$G$90"),MATCH(E$69,'Mar Youth Volleyball'!$A$78:$A$90,0),MATCH($B74,'Mar Youth Volleyball'!$A$78:$G$78,0))</f>
        <v>0</v>
      </c>
      <c r="F74" s="388">
        <f ca="1">INDEX(INDIRECT("'"&amp;$B$69&amp;"'!$A$78:$G$90"),MATCH(F$69,'Mar Youth Volleyball'!$A$78:$A$90,0),MATCH($B74,'Mar Youth Volleyball'!$A$78:$G$78,0))</f>
        <v>0</v>
      </c>
      <c r="G74" s="388">
        <f ca="1">INDEX(INDIRECT("'"&amp;$B$69&amp;"'!$A$78:$G$90"),MATCH(G$69,'Mar Youth Volleyball'!$A$78:$A$90,0),MATCH($B74,'Mar Youth Volleyball'!$A$78:$G$78,0))</f>
        <v>0</v>
      </c>
      <c r="H74" s="388">
        <f ca="1">INDEX(INDIRECT("'"&amp;$B$69&amp;"'!$A$78:$G$90"),MATCH(H$69,'Mar Youth Volleyball'!$A$78:$A$90,0),MATCH($B74,'Mar Youth Volleyball'!$A$78:$G$78,0))</f>
        <v>0</v>
      </c>
      <c r="I74" s="388">
        <f ca="1">INDEX(INDIRECT("'"&amp;$B$69&amp;"'!$A$78:$G$90"),MATCH(I$69,'Mar Youth Volleyball'!$A$78:$A$90,0),MATCH($B74,'Mar Youth Volleyball'!$A$78:$G$78,0))</f>
        <v>0</v>
      </c>
      <c r="J74" s="388">
        <f ca="1">INDEX(INDIRECT("'"&amp;$B$69&amp;"'!$A$78:$G$90"),MATCH(J$69,'Mar Youth Volleyball'!$A$78:$A$90,0),MATCH($B74,'Mar Youth Volleyball'!$A$78:$G$78,0))</f>
        <v>0</v>
      </c>
      <c r="K74" s="388">
        <f ca="1">INDEX(INDIRECT("'"&amp;$B$69&amp;"'!$A$78:$G$90"),MATCH(K$69,'Mar Youth Volleyball'!$A$78:$A$90,0),MATCH($B74,'Mar Youth Volleyball'!$A$78:$G$78,0))</f>
        <v>0</v>
      </c>
      <c r="L74" s="388">
        <f ca="1">INDEX(INDIRECT("'"&amp;$B$69&amp;"'!$A$78:$G$90"),MATCH(L$69,'Mar Youth Volleyball'!$A$78:$A$90,0),MATCH($B74,'Mar Youth Volleyball'!$A$78:$G$78,0))</f>
        <v>0</v>
      </c>
      <c r="M74" s="388">
        <f ca="1">INDEX(INDIRECT("'"&amp;$B$69&amp;"'!$A$78:$G$90"),MATCH(M$69,'Mar Youth Volleyball'!$A$78:$A$90,0),MATCH($B74,'Mar Youth Volleyball'!$A$78:$G$78,0))</f>
        <v>0</v>
      </c>
      <c r="N74" s="388">
        <f ca="1">INDEX(INDIRECT("'"&amp;$B$69&amp;"'!$A$78:$G$90"),MATCH(N$69,'Mar Youth Volleyball'!$A$78:$A$90,0),MATCH($B74,'Mar Youth Volleyball'!$A$78:$G$78,0))</f>
        <v>7000</v>
      </c>
      <c r="O74" s="392"/>
    </row>
    <row r="75" spans="2:15" x14ac:dyDescent="0.25">
      <c r="B75" s="5" t="s">
        <v>30</v>
      </c>
      <c r="C75" s="388">
        <f ca="1">INDEX(INDIRECT("'"&amp;$B$69&amp;"'!$A$78:$G$90"),MATCH(C$69,'Mar Youth Volleyball'!$A$78:$A$90,0),MATCH($B75,'Mar Youth Volleyball'!$A$78:$G$78,0))</f>
        <v>0</v>
      </c>
      <c r="D75" s="388">
        <f ca="1">INDEX(INDIRECT("'"&amp;$B$69&amp;"'!$A$78:$G$90"),MATCH(D$69,'Mar Youth Volleyball'!$A$78:$A$90,0),MATCH($B75,'Mar Youth Volleyball'!$A$78:$G$78,0))</f>
        <v>0</v>
      </c>
      <c r="E75" s="388">
        <f ca="1">INDEX(INDIRECT("'"&amp;$B$69&amp;"'!$A$78:$G$90"),MATCH(E$69,'Mar Youth Volleyball'!$A$78:$A$90,0),MATCH($B75,'Mar Youth Volleyball'!$A$78:$G$78,0))</f>
        <v>0</v>
      </c>
      <c r="F75" s="388">
        <f ca="1">INDEX(INDIRECT("'"&amp;$B$69&amp;"'!$A$78:$G$90"),MATCH(F$69,'Mar Youth Volleyball'!$A$78:$A$90,0),MATCH($B75,'Mar Youth Volleyball'!$A$78:$G$78,0))</f>
        <v>0</v>
      </c>
      <c r="G75" s="388">
        <f ca="1">INDEX(INDIRECT("'"&amp;$B$69&amp;"'!$A$78:$G$90"),MATCH(G$69,'Mar Youth Volleyball'!$A$78:$A$90,0),MATCH($B75,'Mar Youth Volleyball'!$A$78:$G$78,0))</f>
        <v>0</v>
      </c>
      <c r="H75" s="388">
        <f ca="1">INDEX(INDIRECT("'"&amp;$B$69&amp;"'!$A$78:$G$90"),MATCH(H$69,'Mar Youth Volleyball'!$A$78:$A$90,0),MATCH($B75,'Mar Youth Volleyball'!$A$78:$G$78,0))</f>
        <v>0</v>
      </c>
      <c r="I75" s="388">
        <f ca="1">INDEX(INDIRECT("'"&amp;$B$69&amp;"'!$A$78:$G$90"),MATCH(I$69,'Mar Youth Volleyball'!$A$78:$A$90,0),MATCH($B75,'Mar Youth Volleyball'!$A$78:$G$78,0))</f>
        <v>0</v>
      </c>
      <c r="J75" s="388">
        <f ca="1">INDEX(INDIRECT("'"&amp;$B$69&amp;"'!$A$78:$G$90"),MATCH(J$69,'Mar Youth Volleyball'!$A$78:$A$90,0),MATCH($B75,'Mar Youth Volleyball'!$A$78:$G$78,0))</f>
        <v>0</v>
      </c>
      <c r="K75" s="388">
        <f ca="1">INDEX(INDIRECT("'"&amp;$B$69&amp;"'!$A$78:$G$90"),MATCH(K$69,'Mar Youth Volleyball'!$A$78:$A$90,0),MATCH($B75,'Mar Youth Volleyball'!$A$78:$G$78,0))</f>
        <v>0</v>
      </c>
      <c r="L75" s="388">
        <f ca="1">INDEX(INDIRECT("'"&amp;$B$69&amp;"'!$A$78:$G$90"),MATCH(L$69,'Mar Youth Volleyball'!$A$78:$A$90,0),MATCH($B75,'Mar Youth Volleyball'!$A$78:$G$78,0))</f>
        <v>0</v>
      </c>
      <c r="M75" s="388">
        <f ca="1">INDEX(INDIRECT("'"&amp;$B$69&amp;"'!$A$78:$G$90"),MATCH(M$69,'Mar Youth Volleyball'!$A$78:$A$90,0),MATCH($B75,'Mar Youth Volleyball'!$A$78:$G$78,0))</f>
        <v>0</v>
      </c>
      <c r="N75" s="388">
        <f ca="1">INDEX(INDIRECT("'"&amp;$B$69&amp;"'!$A$78:$G$90"),MATCH(N$69,'Mar Youth Volleyball'!$A$78:$A$90,0),MATCH($B75,'Mar Youth Volleyball'!$A$78:$G$78,0))</f>
        <v>1450</v>
      </c>
      <c r="O75" s="392"/>
    </row>
    <row r="76" spans="2:15" x14ac:dyDescent="0.25">
      <c r="B76" s="5" t="s">
        <v>3</v>
      </c>
      <c r="C76" s="390">
        <f ca="1">SUBTOTAL(9,C71:C75)</f>
        <v>566.66666666666663</v>
      </c>
      <c r="D76" s="390">
        <f t="shared" ref="D76" ca="1" si="70">SUBTOTAL(9,D71:D75)</f>
        <v>3266.6666666666665</v>
      </c>
      <c r="E76" s="390">
        <f t="shared" ref="E76" ca="1" si="71">SUBTOTAL(9,E71:E75)</f>
        <v>0</v>
      </c>
      <c r="F76" s="390">
        <f t="shared" ref="F76" ca="1" si="72">SUBTOTAL(9,F71:F75)</f>
        <v>0</v>
      </c>
      <c r="G76" s="390">
        <f t="shared" ref="G76" ca="1" si="73">SUBTOTAL(9,G71:G75)</f>
        <v>0</v>
      </c>
      <c r="H76" s="390">
        <f t="shared" ref="H76" ca="1" si="74">SUBTOTAL(9,H71:H75)</f>
        <v>0</v>
      </c>
      <c r="I76" s="390">
        <f t="shared" ref="I76" ca="1" si="75">SUBTOTAL(9,I71:I75)</f>
        <v>0</v>
      </c>
      <c r="J76" s="390">
        <f t="shared" ref="J76" ca="1" si="76">SUBTOTAL(9,J71:J75)</f>
        <v>0</v>
      </c>
      <c r="K76" s="390">
        <f t="shared" ref="K76" ca="1" si="77">SUBTOTAL(9,K71:K75)</f>
        <v>0</v>
      </c>
      <c r="L76" s="390">
        <f t="shared" ref="L76" ca="1" si="78">SUBTOTAL(9,L71:L75)</f>
        <v>0</v>
      </c>
      <c r="M76" s="390">
        <f t="shared" ref="M76" ca="1" si="79">SUBTOTAL(9,M71:M75)</f>
        <v>0</v>
      </c>
      <c r="N76" s="390">
        <f t="shared" ref="N76" ca="1" si="80">SUBTOTAL(9,N71:N75)</f>
        <v>9016.6666666666679</v>
      </c>
      <c r="O76" s="392"/>
    </row>
    <row r="77" spans="2:15" ht="15.75" thickBot="1" x14ac:dyDescent="0.3">
      <c r="C77" s="392"/>
      <c r="D77" s="392"/>
      <c r="E77" s="392"/>
      <c r="F77" s="392"/>
      <c r="G77" s="392"/>
      <c r="H77" s="392"/>
      <c r="I77" s="392"/>
      <c r="J77" s="392"/>
      <c r="K77" s="392"/>
      <c r="L77" s="392"/>
      <c r="M77" s="392"/>
      <c r="N77" s="392"/>
      <c r="O77" s="392"/>
    </row>
    <row r="78" spans="2:15" ht="15.75" thickBot="1" x14ac:dyDescent="0.3">
      <c r="B78" s="387" t="s">
        <v>388</v>
      </c>
      <c r="C78" s="389" t="s">
        <v>373</v>
      </c>
      <c r="D78" s="389" t="s">
        <v>349</v>
      </c>
      <c r="E78" s="389" t="s">
        <v>324</v>
      </c>
      <c r="F78" s="389" t="s">
        <v>339</v>
      </c>
      <c r="G78" s="389" t="s">
        <v>227</v>
      </c>
      <c r="H78" s="389" t="s">
        <v>341</v>
      </c>
      <c r="I78" s="389" t="s">
        <v>362</v>
      </c>
      <c r="J78" s="389" t="s">
        <v>344</v>
      </c>
      <c r="K78" s="389" t="s">
        <v>346</v>
      </c>
      <c r="L78" s="389" t="s">
        <v>374</v>
      </c>
      <c r="M78" s="389" t="s">
        <v>296</v>
      </c>
      <c r="N78" s="389" t="s">
        <v>348</v>
      </c>
      <c r="O78" s="392"/>
    </row>
    <row r="79" spans="2:15" x14ac:dyDescent="0.25">
      <c r="C79" s="392"/>
      <c r="D79" s="392"/>
      <c r="E79" s="392"/>
      <c r="F79" s="392"/>
      <c r="G79" s="392"/>
      <c r="H79" s="392"/>
      <c r="I79" s="392"/>
      <c r="J79" s="392"/>
      <c r="K79" s="392"/>
      <c r="L79" s="392"/>
      <c r="M79" s="392"/>
      <c r="N79" s="392"/>
      <c r="O79" s="392"/>
    </row>
    <row r="80" spans="2:15" x14ac:dyDescent="0.25">
      <c r="B80" s="5" t="s">
        <v>16</v>
      </c>
      <c r="C80" s="388">
        <f ca="1">INDEX(INDIRECT("'"&amp;$B$78&amp;"'!$A$78:$G$90"),MATCH(C$78,'Mar Youth Volleyball'!$A$78:$A$90,0),MATCH($B80,'Mar Youth Volleyball'!$A$78:$G$78,0))</f>
        <v>0</v>
      </c>
      <c r="D80" s="388">
        <f ca="1">INDEX(INDIRECT("'"&amp;$B$78&amp;"'!$A$78:$G$90"),MATCH(D$78,'Mar Youth Volleyball'!$A$78:$A$90,0),MATCH($B80,'Mar Youth Volleyball'!$A$78:$G$78,0))</f>
        <v>0</v>
      </c>
      <c r="E80" s="388">
        <f ca="1">INDEX(INDIRECT("'"&amp;$B$78&amp;"'!$A$78:$G$90"),MATCH(E$78,'Mar Youth Volleyball'!$A$78:$A$90,0),MATCH($B80,'Mar Youth Volleyball'!$A$78:$G$78,0))</f>
        <v>0</v>
      </c>
      <c r="F80" s="388">
        <f ca="1">INDEX(INDIRECT("'"&amp;$B$78&amp;"'!$A$78:$G$90"),MATCH(F$78,'Mar Youth Volleyball'!$A$78:$A$90,0),MATCH($B80,'Mar Youth Volleyball'!$A$78:$G$78,0))</f>
        <v>0</v>
      </c>
      <c r="G80" s="388">
        <f ca="1">INDEX(INDIRECT("'"&amp;$B$78&amp;"'!$A$78:$G$90"),MATCH(G$78,'Mar Youth Volleyball'!$A$78:$A$90,0),MATCH($B80,'Mar Youth Volleyball'!$A$78:$G$78,0))</f>
        <v>0</v>
      </c>
      <c r="H80" s="388">
        <f ca="1">INDEX(INDIRECT("'"&amp;$B$78&amp;"'!$A$78:$G$90"),MATCH(H$78,'Mar Youth Volleyball'!$A$78:$A$90,0),MATCH($B80,'Mar Youth Volleyball'!$A$78:$G$78,0))</f>
        <v>0</v>
      </c>
      <c r="I80" s="388">
        <f ca="1">INDEX(INDIRECT("'"&amp;$B$78&amp;"'!$A$78:$G$90"),MATCH(I$78,'Mar Youth Volleyball'!$A$78:$A$90,0),MATCH($B80,'Mar Youth Volleyball'!$A$78:$G$78,0))</f>
        <v>0</v>
      </c>
      <c r="J80" s="388">
        <f ca="1">INDEX(INDIRECT("'"&amp;$B$78&amp;"'!$A$78:$G$90"),MATCH(J$78,'Mar Youth Volleyball'!$A$78:$A$90,0),MATCH($B80,'Mar Youth Volleyball'!$A$78:$G$78,0))</f>
        <v>0</v>
      </c>
      <c r="K80" s="388">
        <f ca="1">INDEX(INDIRECT("'"&amp;$B$78&amp;"'!$A$78:$G$90"),MATCH(K$78,'Mar Youth Volleyball'!$A$78:$A$90,0),MATCH($B80,'Mar Youth Volleyball'!$A$78:$G$78,0))</f>
        <v>0</v>
      </c>
      <c r="L80" s="388">
        <f ca="1">INDEX(INDIRECT("'"&amp;$B$78&amp;"'!$A$78:$G$90"),MATCH(L$78,'Mar Youth Volleyball'!$A$78:$A$90,0),MATCH($B80,'Mar Youth Volleyball'!$A$78:$G$78,0))</f>
        <v>0</v>
      </c>
      <c r="M80" s="388">
        <f ca="1">INDEX(INDIRECT("'"&amp;$B$78&amp;"'!$A$78:$G$90"),MATCH(M$78,'Mar Youth Volleyball'!$A$78:$A$90,0),MATCH($B80,'Mar Youth Volleyball'!$A$78:$G$78,0))</f>
        <v>400</v>
      </c>
      <c r="N80" s="388">
        <f ca="1">INDEX(INDIRECT("'"&amp;$B$78&amp;"'!$A$78:$G$90"),MATCH(N$78,'Mar Youth Volleyball'!$A$78:$A$90,0),MATCH($B80,'Mar Youth Volleyball'!$A$78:$G$78,0))</f>
        <v>0</v>
      </c>
      <c r="O80" s="392"/>
    </row>
    <row r="81" spans="2:15" x14ac:dyDescent="0.25">
      <c r="B81" s="5" t="s">
        <v>18</v>
      </c>
      <c r="C81" s="388">
        <f ca="1">INDEX(INDIRECT("'"&amp;$B$78&amp;"'!$A$78:$G$90"),MATCH(C$78,'Mar Youth Volleyball'!$A$78:$A$90,0),MATCH($B81,'Mar Youth Volleyball'!$A$78:$G$78,0))</f>
        <v>0</v>
      </c>
      <c r="D81" s="388">
        <f ca="1">INDEX(INDIRECT("'"&amp;$B$78&amp;"'!$A$78:$G$90"),MATCH(D$78,'Mar Youth Volleyball'!$A$78:$A$90,0),MATCH($B81,'Mar Youth Volleyball'!$A$78:$G$78,0))</f>
        <v>0</v>
      </c>
      <c r="E81" s="388">
        <f ca="1">INDEX(INDIRECT("'"&amp;$B$78&amp;"'!$A$78:$G$90"),MATCH(E$78,'Mar Youth Volleyball'!$A$78:$A$90,0),MATCH($B81,'Mar Youth Volleyball'!$A$78:$G$78,0))</f>
        <v>0</v>
      </c>
      <c r="F81" s="388">
        <f ca="1">INDEX(INDIRECT("'"&amp;$B$78&amp;"'!$A$78:$G$90"),MATCH(F$78,'Mar Youth Volleyball'!$A$78:$A$90,0),MATCH($B81,'Mar Youth Volleyball'!$A$78:$G$78,0))</f>
        <v>0</v>
      </c>
      <c r="G81" s="388">
        <f ca="1">INDEX(INDIRECT("'"&amp;$B$78&amp;"'!$A$78:$G$90"),MATCH(G$78,'Mar Youth Volleyball'!$A$78:$A$90,0),MATCH($B81,'Mar Youth Volleyball'!$A$78:$G$78,0))</f>
        <v>0</v>
      </c>
      <c r="H81" s="388">
        <f ca="1">INDEX(INDIRECT("'"&amp;$B$78&amp;"'!$A$78:$G$90"),MATCH(H$78,'Mar Youth Volleyball'!$A$78:$A$90,0),MATCH($B81,'Mar Youth Volleyball'!$A$78:$G$78,0))</f>
        <v>0</v>
      </c>
      <c r="I81" s="388">
        <f ca="1">INDEX(INDIRECT("'"&amp;$B$78&amp;"'!$A$78:$G$90"),MATCH(I$78,'Mar Youth Volleyball'!$A$78:$A$90,0),MATCH($B81,'Mar Youth Volleyball'!$A$78:$G$78,0))</f>
        <v>0</v>
      </c>
      <c r="J81" s="388">
        <f ca="1">INDEX(INDIRECT("'"&amp;$B$78&amp;"'!$A$78:$G$90"),MATCH(J$78,'Mar Youth Volleyball'!$A$78:$A$90,0),MATCH($B81,'Mar Youth Volleyball'!$A$78:$G$78,0))</f>
        <v>0</v>
      </c>
      <c r="K81" s="388">
        <f ca="1">INDEX(INDIRECT("'"&amp;$B$78&amp;"'!$A$78:$G$90"),MATCH(K$78,'Mar Youth Volleyball'!$A$78:$A$90,0),MATCH($B81,'Mar Youth Volleyball'!$A$78:$G$78,0))</f>
        <v>0</v>
      </c>
      <c r="L81" s="388">
        <f ca="1">INDEX(INDIRECT("'"&amp;$B$78&amp;"'!$A$78:$G$90"),MATCH(L$78,'Mar Youth Volleyball'!$A$78:$A$90,0),MATCH($B81,'Mar Youth Volleyball'!$A$78:$G$78,0))</f>
        <v>0</v>
      </c>
      <c r="M81" s="388">
        <f ca="1">INDEX(INDIRECT("'"&amp;$B$78&amp;"'!$A$78:$G$90"),MATCH(M$78,'Mar Youth Volleyball'!$A$78:$A$90,0),MATCH($B81,'Mar Youth Volleyball'!$A$78:$G$78,0))</f>
        <v>500</v>
      </c>
      <c r="N81" s="388">
        <f ca="1">INDEX(INDIRECT("'"&amp;$B$78&amp;"'!$A$78:$G$90"),MATCH(N$78,'Mar Youth Volleyball'!$A$78:$A$90,0),MATCH($B81,'Mar Youth Volleyball'!$A$78:$G$78,0))</f>
        <v>0</v>
      </c>
      <c r="O81" s="392"/>
    </row>
    <row r="82" spans="2:15" x14ac:dyDescent="0.25">
      <c r="B82" s="5" t="s">
        <v>20</v>
      </c>
      <c r="C82" s="388">
        <f ca="1">INDEX(INDIRECT("'"&amp;$B$78&amp;"'!$A$78:$G$90"),MATCH(C$78,'Mar Youth Volleyball'!$A$78:$A$90,0),MATCH($B82,'Mar Youth Volleyball'!$A$78:$G$78,0))</f>
        <v>0</v>
      </c>
      <c r="D82" s="388">
        <f ca="1">INDEX(INDIRECT("'"&amp;$B$78&amp;"'!$A$78:$G$90"),MATCH(D$78,'Mar Youth Volleyball'!$A$78:$A$90,0),MATCH($B82,'Mar Youth Volleyball'!$A$78:$G$78,0))</f>
        <v>0</v>
      </c>
      <c r="E82" s="388">
        <f ca="1">INDEX(INDIRECT("'"&amp;$B$78&amp;"'!$A$78:$G$90"),MATCH(E$78,'Mar Youth Volleyball'!$A$78:$A$90,0),MATCH($B82,'Mar Youth Volleyball'!$A$78:$G$78,0))</f>
        <v>0</v>
      </c>
      <c r="F82" s="388">
        <f ca="1">INDEX(INDIRECT("'"&amp;$B$78&amp;"'!$A$78:$G$90"),MATCH(F$78,'Mar Youth Volleyball'!$A$78:$A$90,0),MATCH($B82,'Mar Youth Volleyball'!$A$78:$G$78,0))</f>
        <v>0</v>
      </c>
      <c r="G82" s="388">
        <f ca="1">INDEX(INDIRECT("'"&amp;$B$78&amp;"'!$A$78:$G$90"),MATCH(G$78,'Mar Youth Volleyball'!$A$78:$A$90,0),MATCH($B82,'Mar Youth Volleyball'!$A$78:$G$78,0))</f>
        <v>0</v>
      </c>
      <c r="H82" s="388">
        <f ca="1">INDEX(INDIRECT("'"&amp;$B$78&amp;"'!$A$78:$G$90"),MATCH(H$78,'Mar Youth Volleyball'!$A$78:$A$90,0),MATCH($B82,'Mar Youth Volleyball'!$A$78:$G$78,0))</f>
        <v>0</v>
      </c>
      <c r="I82" s="388">
        <f ca="1">INDEX(INDIRECT("'"&amp;$B$78&amp;"'!$A$78:$G$90"),MATCH(I$78,'Mar Youth Volleyball'!$A$78:$A$90,0),MATCH($B82,'Mar Youth Volleyball'!$A$78:$G$78,0))</f>
        <v>0</v>
      </c>
      <c r="J82" s="388">
        <f ca="1">INDEX(INDIRECT("'"&amp;$B$78&amp;"'!$A$78:$G$90"),MATCH(J$78,'Mar Youth Volleyball'!$A$78:$A$90,0),MATCH($B82,'Mar Youth Volleyball'!$A$78:$G$78,0))</f>
        <v>0</v>
      </c>
      <c r="K82" s="388">
        <f ca="1">INDEX(INDIRECT("'"&amp;$B$78&amp;"'!$A$78:$G$90"),MATCH(K$78,'Mar Youth Volleyball'!$A$78:$A$90,0),MATCH($B82,'Mar Youth Volleyball'!$A$78:$G$78,0))</f>
        <v>0</v>
      </c>
      <c r="L82" s="388">
        <f ca="1">INDEX(INDIRECT("'"&amp;$B$78&amp;"'!$A$78:$G$90"),MATCH(L$78,'Mar Youth Volleyball'!$A$78:$A$90,0),MATCH($B82,'Mar Youth Volleyball'!$A$78:$G$78,0))</f>
        <v>0</v>
      </c>
      <c r="M82" s="388">
        <f ca="1">INDEX(INDIRECT("'"&amp;$B$78&amp;"'!$A$78:$G$90"),MATCH(M$78,'Mar Youth Volleyball'!$A$78:$A$90,0),MATCH($B82,'Mar Youth Volleyball'!$A$78:$G$78,0))</f>
        <v>0</v>
      </c>
      <c r="N82" s="388">
        <f ca="1">INDEX(INDIRECT("'"&amp;$B$78&amp;"'!$A$78:$G$90"),MATCH(N$78,'Mar Youth Volleyball'!$A$78:$A$90,0),MATCH($B82,'Mar Youth Volleyball'!$A$78:$G$78,0))</f>
        <v>0</v>
      </c>
      <c r="O82" s="392"/>
    </row>
    <row r="83" spans="2:15" x14ac:dyDescent="0.25">
      <c r="B83" s="5" t="s">
        <v>24</v>
      </c>
      <c r="C83" s="388">
        <f ca="1">INDEX(INDIRECT("'"&amp;$B$78&amp;"'!$A$78:$G$90"),MATCH(C$78,'Mar Youth Volleyball'!$A$78:$A$90,0),MATCH($B83,'Mar Youth Volleyball'!$A$78:$G$78,0))</f>
        <v>0</v>
      </c>
      <c r="D83" s="388">
        <f ca="1">INDEX(INDIRECT("'"&amp;$B$78&amp;"'!$A$78:$G$90"),MATCH(D$78,'Mar Youth Volleyball'!$A$78:$A$90,0),MATCH($B83,'Mar Youth Volleyball'!$A$78:$G$78,0))</f>
        <v>0</v>
      </c>
      <c r="E83" s="388">
        <f ca="1">INDEX(INDIRECT("'"&amp;$B$78&amp;"'!$A$78:$G$90"),MATCH(E$78,'Mar Youth Volleyball'!$A$78:$A$90,0),MATCH($B83,'Mar Youth Volleyball'!$A$78:$G$78,0))</f>
        <v>0</v>
      </c>
      <c r="F83" s="388">
        <f ca="1">INDEX(INDIRECT("'"&amp;$B$78&amp;"'!$A$78:$G$90"),MATCH(F$78,'Mar Youth Volleyball'!$A$78:$A$90,0),MATCH($B83,'Mar Youth Volleyball'!$A$78:$G$78,0))</f>
        <v>0</v>
      </c>
      <c r="G83" s="388">
        <f ca="1">INDEX(INDIRECT("'"&amp;$B$78&amp;"'!$A$78:$G$90"),MATCH(G$78,'Mar Youth Volleyball'!$A$78:$A$90,0),MATCH($B83,'Mar Youth Volleyball'!$A$78:$G$78,0))</f>
        <v>0</v>
      </c>
      <c r="H83" s="388">
        <f ca="1">INDEX(INDIRECT("'"&amp;$B$78&amp;"'!$A$78:$G$90"),MATCH(H$78,'Mar Youth Volleyball'!$A$78:$A$90,0),MATCH($B83,'Mar Youth Volleyball'!$A$78:$G$78,0))</f>
        <v>0</v>
      </c>
      <c r="I83" s="388">
        <f ca="1">INDEX(INDIRECT("'"&amp;$B$78&amp;"'!$A$78:$G$90"),MATCH(I$78,'Mar Youth Volleyball'!$A$78:$A$90,0),MATCH($B83,'Mar Youth Volleyball'!$A$78:$G$78,0))</f>
        <v>0</v>
      </c>
      <c r="J83" s="388">
        <f ca="1">INDEX(INDIRECT("'"&amp;$B$78&amp;"'!$A$78:$G$90"),MATCH(J$78,'Mar Youth Volleyball'!$A$78:$A$90,0),MATCH($B83,'Mar Youth Volleyball'!$A$78:$G$78,0))</f>
        <v>0</v>
      </c>
      <c r="K83" s="388">
        <f ca="1">INDEX(INDIRECT("'"&amp;$B$78&amp;"'!$A$78:$G$90"),MATCH(K$78,'Mar Youth Volleyball'!$A$78:$A$90,0),MATCH($B83,'Mar Youth Volleyball'!$A$78:$G$78,0))</f>
        <v>0</v>
      </c>
      <c r="L83" s="388">
        <f ca="1">INDEX(INDIRECT("'"&amp;$B$78&amp;"'!$A$78:$G$90"),MATCH(L$78,'Mar Youth Volleyball'!$A$78:$A$90,0),MATCH($B83,'Mar Youth Volleyball'!$A$78:$G$78,0))</f>
        <v>0</v>
      </c>
      <c r="M83" s="388">
        <f ca="1">INDEX(INDIRECT("'"&amp;$B$78&amp;"'!$A$78:$G$90"),MATCH(M$78,'Mar Youth Volleyball'!$A$78:$A$90,0),MATCH($B83,'Mar Youth Volleyball'!$A$78:$G$78,0))</f>
        <v>640</v>
      </c>
      <c r="N83" s="388">
        <f ca="1">INDEX(INDIRECT("'"&amp;$B$78&amp;"'!$A$78:$G$90"),MATCH(N$78,'Mar Youth Volleyball'!$A$78:$A$90,0),MATCH($B83,'Mar Youth Volleyball'!$A$78:$G$78,0))</f>
        <v>0</v>
      </c>
      <c r="O83" s="392"/>
    </row>
    <row r="84" spans="2:15" x14ac:dyDescent="0.25">
      <c r="B84" s="5" t="s">
        <v>30</v>
      </c>
      <c r="C84" s="388">
        <f ca="1">INDEX(INDIRECT("'"&amp;$B$78&amp;"'!$A$78:$G$90"),MATCH(C$78,'Mar Youth Volleyball'!$A$78:$A$90,0),MATCH($B84,'Mar Youth Volleyball'!$A$78:$G$78,0))</f>
        <v>0</v>
      </c>
      <c r="D84" s="388">
        <f ca="1">INDEX(INDIRECT("'"&amp;$B$78&amp;"'!$A$78:$G$90"),MATCH(D$78,'Mar Youth Volleyball'!$A$78:$A$90,0),MATCH($B84,'Mar Youth Volleyball'!$A$78:$G$78,0))</f>
        <v>0</v>
      </c>
      <c r="E84" s="388">
        <f ca="1">INDEX(INDIRECT("'"&amp;$B$78&amp;"'!$A$78:$G$90"),MATCH(E$78,'Mar Youth Volleyball'!$A$78:$A$90,0),MATCH($B84,'Mar Youth Volleyball'!$A$78:$G$78,0))</f>
        <v>0</v>
      </c>
      <c r="F84" s="388">
        <f ca="1">INDEX(INDIRECT("'"&amp;$B$78&amp;"'!$A$78:$G$90"),MATCH(F$78,'Mar Youth Volleyball'!$A$78:$A$90,0),MATCH($B84,'Mar Youth Volleyball'!$A$78:$G$78,0))</f>
        <v>0</v>
      </c>
      <c r="G84" s="388">
        <f ca="1">INDEX(INDIRECT("'"&amp;$B$78&amp;"'!$A$78:$G$90"),MATCH(G$78,'Mar Youth Volleyball'!$A$78:$A$90,0),MATCH($B84,'Mar Youth Volleyball'!$A$78:$G$78,0))</f>
        <v>0</v>
      </c>
      <c r="H84" s="388">
        <f ca="1">INDEX(INDIRECT("'"&amp;$B$78&amp;"'!$A$78:$G$90"),MATCH(H$78,'Mar Youth Volleyball'!$A$78:$A$90,0),MATCH($B84,'Mar Youth Volleyball'!$A$78:$G$78,0))</f>
        <v>0</v>
      </c>
      <c r="I84" s="388">
        <f ca="1">INDEX(INDIRECT("'"&amp;$B$78&amp;"'!$A$78:$G$90"),MATCH(I$78,'Mar Youth Volleyball'!$A$78:$A$90,0),MATCH($B84,'Mar Youth Volleyball'!$A$78:$G$78,0))</f>
        <v>0</v>
      </c>
      <c r="J84" s="388">
        <f ca="1">INDEX(INDIRECT("'"&amp;$B$78&amp;"'!$A$78:$G$90"),MATCH(J$78,'Mar Youth Volleyball'!$A$78:$A$90,0),MATCH($B84,'Mar Youth Volleyball'!$A$78:$G$78,0))</f>
        <v>0</v>
      </c>
      <c r="K84" s="388">
        <f ca="1">INDEX(INDIRECT("'"&amp;$B$78&amp;"'!$A$78:$G$90"),MATCH(K$78,'Mar Youth Volleyball'!$A$78:$A$90,0),MATCH($B84,'Mar Youth Volleyball'!$A$78:$G$78,0))</f>
        <v>0</v>
      </c>
      <c r="L84" s="388">
        <f ca="1">INDEX(INDIRECT("'"&amp;$B$78&amp;"'!$A$78:$G$90"),MATCH(L$78,'Mar Youth Volleyball'!$A$78:$A$90,0),MATCH($B84,'Mar Youth Volleyball'!$A$78:$G$78,0))</f>
        <v>0</v>
      </c>
      <c r="M84" s="388">
        <f ca="1">INDEX(INDIRECT("'"&amp;$B$78&amp;"'!$A$78:$G$90"),MATCH(M$78,'Mar Youth Volleyball'!$A$78:$A$90,0),MATCH($B84,'Mar Youth Volleyball'!$A$78:$G$78,0))</f>
        <v>0</v>
      </c>
      <c r="N84" s="388">
        <f ca="1">INDEX(INDIRECT("'"&amp;$B$78&amp;"'!$A$78:$G$90"),MATCH(N$78,'Mar Youth Volleyball'!$A$78:$A$90,0),MATCH($B84,'Mar Youth Volleyball'!$A$78:$G$78,0))</f>
        <v>0</v>
      </c>
      <c r="O84" s="392"/>
    </row>
    <row r="85" spans="2:15" x14ac:dyDescent="0.25">
      <c r="B85" s="5" t="s">
        <v>3</v>
      </c>
      <c r="C85" s="390">
        <f ca="1">SUBTOTAL(9,C80:C84)</f>
        <v>0</v>
      </c>
      <c r="D85" s="390">
        <f t="shared" ref="D85" ca="1" si="81">SUBTOTAL(9,D80:D84)</f>
        <v>0</v>
      </c>
      <c r="E85" s="390">
        <f t="shared" ref="E85" ca="1" si="82">SUBTOTAL(9,E80:E84)</f>
        <v>0</v>
      </c>
      <c r="F85" s="390">
        <f t="shared" ref="F85" ca="1" si="83">SUBTOTAL(9,F80:F84)</f>
        <v>0</v>
      </c>
      <c r="G85" s="390">
        <f t="shared" ref="G85" ca="1" si="84">SUBTOTAL(9,G80:G84)</f>
        <v>0</v>
      </c>
      <c r="H85" s="390">
        <f t="shared" ref="H85" ca="1" si="85">SUBTOTAL(9,H80:H84)</f>
        <v>0</v>
      </c>
      <c r="I85" s="390">
        <f t="shared" ref="I85" ca="1" si="86">SUBTOTAL(9,I80:I84)</f>
        <v>0</v>
      </c>
      <c r="J85" s="390">
        <f t="shared" ref="J85" ca="1" si="87">SUBTOTAL(9,J80:J84)</f>
        <v>0</v>
      </c>
      <c r="K85" s="390">
        <f t="shared" ref="K85" ca="1" si="88">SUBTOTAL(9,K80:K84)</f>
        <v>0</v>
      </c>
      <c r="L85" s="390">
        <f t="shared" ref="L85" ca="1" si="89">SUBTOTAL(9,L80:L84)</f>
        <v>0</v>
      </c>
      <c r="M85" s="390">
        <f t="shared" ref="M85" ca="1" si="90">SUBTOTAL(9,M80:M84)</f>
        <v>1540</v>
      </c>
      <c r="N85" s="390">
        <f t="shared" ref="N85" ca="1" si="91">SUBTOTAL(9,N80:N84)</f>
        <v>0</v>
      </c>
      <c r="O85" s="392"/>
    </row>
    <row r="86" spans="2:15" ht="15.75" thickBot="1" x14ac:dyDescent="0.3">
      <c r="C86" s="392"/>
      <c r="D86" s="392"/>
      <c r="E86" s="392"/>
      <c r="F86" s="392"/>
      <c r="G86" s="392"/>
      <c r="H86" s="392"/>
      <c r="I86" s="392"/>
      <c r="J86" s="392"/>
      <c r="K86" s="392"/>
      <c r="L86" s="392"/>
      <c r="M86" s="392"/>
      <c r="N86" s="392"/>
      <c r="O86" s="392"/>
    </row>
    <row r="87" spans="2:15" ht="15.75" thickBot="1" x14ac:dyDescent="0.3">
      <c r="B87" s="387" t="s">
        <v>389</v>
      </c>
      <c r="C87" s="389" t="s">
        <v>373</v>
      </c>
      <c r="D87" s="389" t="s">
        <v>349</v>
      </c>
      <c r="E87" s="389" t="s">
        <v>324</v>
      </c>
      <c r="F87" s="389" t="s">
        <v>339</v>
      </c>
      <c r="G87" s="389" t="s">
        <v>227</v>
      </c>
      <c r="H87" s="389" t="s">
        <v>341</v>
      </c>
      <c r="I87" s="389" t="s">
        <v>362</v>
      </c>
      <c r="J87" s="389" t="s">
        <v>344</v>
      </c>
      <c r="K87" s="389" t="s">
        <v>346</v>
      </c>
      <c r="L87" s="389" t="s">
        <v>374</v>
      </c>
      <c r="M87" s="389" t="s">
        <v>296</v>
      </c>
      <c r="N87" s="389" t="s">
        <v>348</v>
      </c>
      <c r="O87" s="392"/>
    </row>
    <row r="88" spans="2:15" x14ac:dyDescent="0.25">
      <c r="C88" s="392"/>
      <c r="D88" s="392"/>
      <c r="E88" s="392"/>
      <c r="F88" s="392"/>
      <c r="G88" s="392"/>
      <c r="H88" s="392"/>
      <c r="I88" s="392"/>
      <c r="J88" s="392"/>
      <c r="K88" s="392"/>
      <c r="L88" s="392"/>
      <c r="M88" s="392"/>
      <c r="N88" s="392"/>
      <c r="O88" s="392"/>
    </row>
    <row r="89" spans="2:15" x14ac:dyDescent="0.25">
      <c r="B89" s="5" t="s">
        <v>16</v>
      </c>
      <c r="C89" s="388">
        <f ca="1">INDEX(INDIRECT("'"&amp;$B$87&amp;"'!$A$78:$G$90"),MATCH(C$87,'Mar Youth Volleyball'!$A$78:$A$90,0),MATCH($B89,'Mar Youth Volleyball'!$A$78:$G$78,0))</f>
        <v>0</v>
      </c>
      <c r="D89" s="388">
        <f ca="1">INDEX(INDIRECT("'"&amp;$B$87&amp;"'!$A$78:$G$90"),MATCH(D$87,'Mar Youth Volleyball'!$A$78:$A$90,0),MATCH($B89,'Mar Youth Volleyball'!$A$78:$G$78,0))</f>
        <v>0</v>
      </c>
      <c r="E89" s="388">
        <f ca="1">INDEX(INDIRECT("'"&amp;$B$87&amp;"'!$A$78:$G$90"),MATCH(E$87,'Mar Youth Volleyball'!$A$78:$A$90,0),MATCH($B89,'Mar Youth Volleyball'!$A$78:$G$78,0))</f>
        <v>0</v>
      </c>
      <c r="F89" s="388">
        <f ca="1">INDEX(INDIRECT("'"&amp;$B$87&amp;"'!$A$78:$G$90"),MATCH(F$87,'Mar Youth Volleyball'!$A$78:$A$90,0),MATCH($B89,'Mar Youth Volleyball'!$A$78:$G$78,0))</f>
        <v>0</v>
      </c>
      <c r="G89" s="388">
        <f ca="1">INDEX(INDIRECT("'"&amp;$B$87&amp;"'!$A$78:$G$90"),MATCH(G$87,'Mar Youth Volleyball'!$A$78:$A$90,0),MATCH($B89,'Mar Youth Volleyball'!$A$78:$G$78,0))</f>
        <v>0</v>
      </c>
      <c r="H89" s="388">
        <f ca="1">INDEX(INDIRECT("'"&amp;$B$87&amp;"'!$A$78:$G$90"),MATCH(H$87,'Mar Youth Volleyball'!$A$78:$A$90,0),MATCH($B89,'Mar Youth Volleyball'!$A$78:$G$78,0))</f>
        <v>700</v>
      </c>
      <c r="I89" s="388">
        <f ca="1">INDEX(INDIRECT("'"&amp;$B$87&amp;"'!$A$78:$G$90"),MATCH(I$87,'Mar Youth Volleyball'!$A$78:$A$90,0),MATCH($B89,'Mar Youth Volleyball'!$A$78:$G$78,0))</f>
        <v>0</v>
      </c>
      <c r="J89" s="388">
        <f ca="1">INDEX(INDIRECT("'"&amp;$B$87&amp;"'!$A$78:$G$90"),MATCH(J$87,'Mar Youth Volleyball'!$A$78:$A$90,0),MATCH($B89,'Mar Youth Volleyball'!$A$78:$G$78,0))</f>
        <v>0</v>
      </c>
      <c r="K89" s="388">
        <f ca="1">INDEX(INDIRECT("'"&amp;$B$87&amp;"'!$A$78:$G$90"),MATCH(K$87,'Mar Youth Volleyball'!$A$78:$A$90,0),MATCH($B89,'Mar Youth Volleyball'!$A$78:$G$78,0))</f>
        <v>0</v>
      </c>
      <c r="L89" s="388">
        <f ca="1">INDEX(INDIRECT("'"&amp;$B$87&amp;"'!$A$78:$G$90"),MATCH(L$87,'Mar Youth Volleyball'!$A$78:$A$90,0),MATCH($B89,'Mar Youth Volleyball'!$A$78:$G$78,0))</f>
        <v>0</v>
      </c>
      <c r="M89" s="388">
        <f ca="1">INDEX(INDIRECT("'"&amp;$B$87&amp;"'!$A$78:$G$90"),MATCH(M$87,'Mar Youth Volleyball'!$A$78:$A$90,0),MATCH($B89,'Mar Youth Volleyball'!$A$78:$G$78,0))</f>
        <v>0</v>
      </c>
      <c r="N89" s="388">
        <f ca="1">INDEX(INDIRECT("'"&amp;$B$87&amp;"'!$A$78:$G$90"),MATCH(N$87,'Mar Youth Volleyball'!$A$78:$A$90,0),MATCH($B89,'Mar Youth Volleyball'!$A$78:$G$78,0))</f>
        <v>0</v>
      </c>
      <c r="O89" s="392"/>
    </row>
    <row r="90" spans="2:15" x14ac:dyDescent="0.25">
      <c r="B90" s="5" t="s">
        <v>18</v>
      </c>
      <c r="C90" s="388">
        <f ca="1">INDEX(INDIRECT("'"&amp;$B$87&amp;"'!$A$78:$G$90"),MATCH(C$87,'Mar Youth Volleyball'!$A$78:$A$90,0),MATCH($B90,'Mar Youth Volleyball'!$A$78:$G$78,0))</f>
        <v>0</v>
      </c>
      <c r="D90" s="388">
        <f ca="1">INDEX(INDIRECT("'"&amp;$B$87&amp;"'!$A$78:$G$90"),MATCH(D$87,'Mar Youth Volleyball'!$A$78:$A$90,0),MATCH($B90,'Mar Youth Volleyball'!$A$78:$G$78,0))</f>
        <v>0</v>
      </c>
      <c r="E90" s="388">
        <f ca="1">INDEX(INDIRECT("'"&amp;$B$87&amp;"'!$A$78:$G$90"),MATCH(E$87,'Mar Youth Volleyball'!$A$78:$A$90,0),MATCH($B90,'Mar Youth Volleyball'!$A$78:$G$78,0))</f>
        <v>0</v>
      </c>
      <c r="F90" s="388">
        <f ca="1">INDEX(INDIRECT("'"&amp;$B$87&amp;"'!$A$78:$G$90"),MATCH(F$87,'Mar Youth Volleyball'!$A$78:$A$90,0),MATCH($B90,'Mar Youth Volleyball'!$A$78:$G$78,0))</f>
        <v>0</v>
      </c>
      <c r="G90" s="388">
        <f ca="1">INDEX(INDIRECT("'"&amp;$B$87&amp;"'!$A$78:$G$90"),MATCH(G$87,'Mar Youth Volleyball'!$A$78:$A$90,0),MATCH($B90,'Mar Youth Volleyball'!$A$78:$G$78,0))</f>
        <v>0</v>
      </c>
      <c r="H90" s="388">
        <f ca="1">INDEX(INDIRECT("'"&amp;$B$87&amp;"'!$A$78:$G$90"),MATCH(H$87,'Mar Youth Volleyball'!$A$78:$A$90,0),MATCH($B90,'Mar Youth Volleyball'!$A$78:$G$78,0))</f>
        <v>500</v>
      </c>
      <c r="I90" s="388">
        <f ca="1">INDEX(INDIRECT("'"&amp;$B$87&amp;"'!$A$78:$G$90"),MATCH(I$87,'Mar Youth Volleyball'!$A$78:$A$90,0),MATCH($B90,'Mar Youth Volleyball'!$A$78:$G$78,0))</f>
        <v>0</v>
      </c>
      <c r="J90" s="388">
        <f ca="1">INDEX(INDIRECT("'"&amp;$B$87&amp;"'!$A$78:$G$90"),MATCH(J$87,'Mar Youth Volleyball'!$A$78:$A$90,0),MATCH($B90,'Mar Youth Volleyball'!$A$78:$G$78,0))</f>
        <v>0</v>
      </c>
      <c r="K90" s="388">
        <f ca="1">INDEX(INDIRECT("'"&amp;$B$87&amp;"'!$A$78:$G$90"),MATCH(K$87,'Mar Youth Volleyball'!$A$78:$A$90,0),MATCH($B90,'Mar Youth Volleyball'!$A$78:$G$78,0))</f>
        <v>0</v>
      </c>
      <c r="L90" s="388">
        <f ca="1">INDEX(INDIRECT("'"&amp;$B$87&amp;"'!$A$78:$G$90"),MATCH(L$87,'Mar Youth Volleyball'!$A$78:$A$90,0),MATCH($B90,'Mar Youth Volleyball'!$A$78:$G$78,0))</f>
        <v>0</v>
      </c>
      <c r="M90" s="388">
        <f ca="1">INDEX(INDIRECT("'"&amp;$B$87&amp;"'!$A$78:$G$90"),MATCH(M$87,'Mar Youth Volleyball'!$A$78:$A$90,0),MATCH($B90,'Mar Youth Volleyball'!$A$78:$G$78,0))</f>
        <v>0</v>
      </c>
      <c r="N90" s="388">
        <f ca="1">INDEX(INDIRECT("'"&amp;$B$87&amp;"'!$A$78:$G$90"),MATCH(N$87,'Mar Youth Volleyball'!$A$78:$A$90,0),MATCH($B90,'Mar Youth Volleyball'!$A$78:$G$78,0))</f>
        <v>0</v>
      </c>
      <c r="O90" s="392"/>
    </row>
    <row r="91" spans="2:15" x14ac:dyDescent="0.25">
      <c r="B91" s="5" t="s">
        <v>20</v>
      </c>
      <c r="C91" s="388">
        <f ca="1">INDEX(INDIRECT("'"&amp;$B$87&amp;"'!$A$78:$G$90"),MATCH(C$87,'Mar Youth Volleyball'!$A$78:$A$90,0),MATCH($B91,'Mar Youth Volleyball'!$A$78:$G$78,0))</f>
        <v>0</v>
      </c>
      <c r="D91" s="388">
        <f ca="1">INDEX(INDIRECT("'"&amp;$B$87&amp;"'!$A$78:$G$90"),MATCH(D$87,'Mar Youth Volleyball'!$A$78:$A$90,0),MATCH($B91,'Mar Youth Volleyball'!$A$78:$G$78,0))</f>
        <v>0</v>
      </c>
      <c r="E91" s="388">
        <f ca="1">INDEX(INDIRECT("'"&amp;$B$87&amp;"'!$A$78:$G$90"),MATCH(E$87,'Mar Youth Volleyball'!$A$78:$A$90,0),MATCH($B91,'Mar Youth Volleyball'!$A$78:$G$78,0))</f>
        <v>0</v>
      </c>
      <c r="F91" s="388">
        <f ca="1">INDEX(INDIRECT("'"&amp;$B$87&amp;"'!$A$78:$G$90"),MATCH(F$87,'Mar Youth Volleyball'!$A$78:$A$90,0),MATCH($B91,'Mar Youth Volleyball'!$A$78:$G$78,0))</f>
        <v>0</v>
      </c>
      <c r="G91" s="388">
        <f ca="1">INDEX(INDIRECT("'"&amp;$B$87&amp;"'!$A$78:$G$90"),MATCH(G$87,'Mar Youth Volleyball'!$A$78:$A$90,0),MATCH($B91,'Mar Youth Volleyball'!$A$78:$G$78,0))</f>
        <v>0</v>
      </c>
      <c r="H91" s="388">
        <f ca="1">INDEX(INDIRECT("'"&amp;$B$87&amp;"'!$A$78:$G$90"),MATCH(H$87,'Mar Youth Volleyball'!$A$78:$A$90,0),MATCH($B91,'Mar Youth Volleyball'!$A$78:$G$78,0))</f>
        <v>0</v>
      </c>
      <c r="I91" s="388">
        <f ca="1">INDEX(INDIRECT("'"&amp;$B$87&amp;"'!$A$78:$G$90"),MATCH(I$87,'Mar Youth Volleyball'!$A$78:$A$90,0),MATCH($B91,'Mar Youth Volleyball'!$A$78:$G$78,0))</f>
        <v>0</v>
      </c>
      <c r="J91" s="388">
        <f ca="1">INDEX(INDIRECT("'"&amp;$B$87&amp;"'!$A$78:$G$90"),MATCH(J$87,'Mar Youth Volleyball'!$A$78:$A$90,0),MATCH($B91,'Mar Youth Volleyball'!$A$78:$G$78,0))</f>
        <v>0</v>
      </c>
      <c r="K91" s="388">
        <f ca="1">INDEX(INDIRECT("'"&amp;$B$87&amp;"'!$A$78:$G$90"),MATCH(K$87,'Mar Youth Volleyball'!$A$78:$A$90,0),MATCH($B91,'Mar Youth Volleyball'!$A$78:$G$78,0))</f>
        <v>0</v>
      </c>
      <c r="L91" s="388">
        <f ca="1">INDEX(INDIRECT("'"&amp;$B$87&amp;"'!$A$78:$G$90"),MATCH(L$87,'Mar Youth Volleyball'!$A$78:$A$90,0),MATCH($B91,'Mar Youth Volleyball'!$A$78:$G$78,0))</f>
        <v>0</v>
      </c>
      <c r="M91" s="388">
        <f ca="1">INDEX(INDIRECT("'"&amp;$B$87&amp;"'!$A$78:$G$90"),MATCH(M$87,'Mar Youth Volleyball'!$A$78:$A$90,0),MATCH($B91,'Mar Youth Volleyball'!$A$78:$G$78,0))</f>
        <v>0</v>
      </c>
      <c r="N91" s="388">
        <f ca="1">INDEX(INDIRECT("'"&amp;$B$87&amp;"'!$A$78:$G$90"),MATCH(N$87,'Mar Youth Volleyball'!$A$78:$A$90,0),MATCH($B91,'Mar Youth Volleyball'!$A$78:$G$78,0))</f>
        <v>0</v>
      </c>
      <c r="O91" s="392"/>
    </row>
    <row r="92" spans="2:15" x14ac:dyDescent="0.25">
      <c r="B92" s="5" t="s">
        <v>24</v>
      </c>
      <c r="C92" s="388">
        <f ca="1">INDEX(INDIRECT("'"&amp;$B$87&amp;"'!$A$78:$G$90"),MATCH(C$87,'Mar Youth Volleyball'!$A$78:$A$90,0),MATCH($B92,'Mar Youth Volleyball'!$A$78:$G$78,0))</f>
        <v>0</v>
      </c>
      <c r="D92" s="388">
        <f ca="1">INDEX(INDIRECT("'"&amp;$B$87&amp;"'!$A$78:$G$90"),MATCH(D$87,'Mar Youth Volleyball'!$A$78:$A$90,0),MATCH($B92,'Mar Youth Volleyball'!$A$78:$G$78,0))</f>
        <v>0</v>
      </c>
      <c r="E92" s="388">
        <f ca="1">INDEX(INDIRECT("'"&amp;$B$87&amp;"'!$A$78:$G$90"),MATCH(E$87,'Mar Youth Volleyball'!$A$78:$A$90,0),MATCH($B92,'Mar Youth Volleyball'!$A$78:$G$78,0))</f>
        <v>0</v>
      </c>
      <c r="F92" s="388">
        <f ca="1">INDEX(INDIRECT("'"&amp;$B$87&amp;"'!$A$78:$G$90"),MATCH(F$87,'Mar Youth Volleyball'!$A$78:$A$90,0),MATCH($B92,'Mar Youth Volleyball'!$A$78:$G$78,0))</f>
        <v>0</v>
      </c>
      <c r="G92" s="388">
        <f ca="1">INDEX(INDIRECT("'"&amp;$B$87&amp;"'!$A$78:$G$90"),MATCH(G$87,'Mar Youth Volleyball'!$A$78:$A$90,0),MATCH($B92,'Mar Youth Volleyball'!$A$78:$G$78,0))</f>
        <v>0</v>
      </c>
      <c r="H92" s="388">
        <f ca="1">INDEX(INDIRECT("'"&amp;$B$87&amp;"'!$A$78:$G$90"),MATCH(H$87,'Mar Youth Volleyball'!$A$78:$A$90,0),MATCH($B92,'Mar Youth Volleyball'!$A$78:$G$78,0))</f>
        <v>540</v>
      </c>
      <c r="I92" s="388">
        <f ca="1">INDEX(INDIRECT("'"&amp;$B$87&amp;"'!$A$78:$G$90"),MATCH(I$87,'Mar Youth Volleyball'!$A$78:$A$90,0),MATCH($B92,'Mar Youth Volleyball'!$A$78:$G$78,0))</f>
        <v>0</v>
      </c>
      <c r="J92" s="388">
        <f ca="1">INDEX(INDIRECT("'"&amp;$B$87&amp;"'!$A$78:$G$90"),MATCH(J$87,'Mar Youth Volleyball'!$A$78:$A$90,0),MATCH($B92,'Mar Youth Volleyball'!$A$78:$G$78,0))</f>
        <v>0</v>
      </c>
      <c r="K92" s="388">
        <f ca="1">INDEX(INDIRECT("'"&amp;$B$87&amp;"'!$A$78:$G$90"),MATCH(K$87,'Mar Youth Volleyball'!$A$78:$A$90,0),MATCH($B92,'Mar Youth Volleyball'!$A$78:$G$78,0))</f>
        <v>0</v>
      </c>
      <c r="L92" s="388">
        <f ca="1">INDEX(INDIRECT("'"&amp;$B$87&amp;"'!$A$78:$G$90"),MATCH(L$87,'Mar Youth Volleyball'!$A$78:$A$90,0),MATCH($B92,'Mar Youth Volleyball'!$A$78:$G$78,0))</f>
        <v>0</v>
      </c>
      <c r="M92" s="388">
        <f ca="1">INDEX(INDIRECT("'"&amp;$B$87&amp;"'!$A$78:$G$90"),MATCH(M$87,'Mar Youth Volleyball'!$A$78:$A$90,0),MATCH($B92,'Mar Youth Volleyball'!$A$78:$G$78,0))</f>
        <v>0</v>
      </c>
      <c r="N92" s="388">
        <f ca="1">INDEX(INDIRECT("'"&amp;$B$87&amp;"'!$A$78:$G$90"),MATCH(N$87,'Mar Youth Volleyball'!$A$78:$A$90,0),MATCH($B92,'Mar Youth Volleyball'!$A$78:$G$78,0))</f>
        <v>0</v>
      </c>
      <c r="O92" s="392"/>
    </row>
    <row r="93" spans="2:15" x14ac:dyDescent="0.25">
      <c r="B93" s="5" t="s">
        <v>30</v>
      </c>
      <c r="C93" s="388">
        <f ca="1">INDEX(INDIRECT("'"&amp;$B$87&amp;"'!$A$78:$G$90"),MATCH(C$87,'Mar Youth Volleyball'!$A$78:$A$90,0),MATCH($B93,'Mar Youth Volleyball'!$A$78:$G$78,0))</f>
        <v>0</v>
      </c>
      <c r="D93" s="388">
        <f ca="1">INDEX(INDIRECT("'"&amp;$B$87&amp;"'!$A$78:$G$90"),MATCH(D$87,'Mar Youth Volleyball'!$A$78:$A$90,0),MATCH($B93,'Mar Youth Volleyball'!$A$78:$G$78,0))</f>
        <v>0</v>
      </c>
      <c r="E93" s="388">
        <f ca="1">INDEX(INDIRECT("'"&amp;$B$87&amp;"'!$A$78:$G$90"),MATCH(E$87,'Mar Youth Volleyball'!$A$78:$A$90,0),MATCH($B93,'Mar Youth Volleyball'!$A$78:$G$78,0))</f>
        <v>0</v>
      </c>
      <c r="F93" s="388">
        <f ca="1">INDEX(INDIRECT("'"&amp;$B$87&amp;"'!$A$78:$G$90"),MATCH(F$87,'Mar Youth Volleyball'!$A$78:$A$90,0),MATCH($B93,'Mar Youth Volleyball'!$A$78:$G$78,0))</f>
        <v>0</v>
      </c>
      <c r="G93" s="388">
        <f ca="1">INDEX(INDIRECT("'"&amp;$B$87&amp;"'!$A$78:$G$90"),MATCH(G$87,'Mar Youth Volleyball'!$A$78:$A$90,0),MATCH($B93,'Mar Youth Volleyball'!$A$78:$G$78,0))</f>
        <v>0</v>
      </c>
      <c r="H93" s="388">
        <f ca="1">INDEX(INDIRECT("'"&amp;$B$87&amp;"'!$A$78:$G$90"),MATCH(H$87,'Mar Youth Volleyball'!$A$78:$A$90,0),MATCH($B93,'Mar Youth Volleyball'!$A$78:$G$78,0))</f>
        <v>100</v>
      </c>
      <c r="I93" s="388">
        <f ca="1">INDEX(INDIRECT("'"&amp;$B$87&amp;"'!$A$78:$G$90"),MATCH(I$87,'Mar Youth Volleyball'!$A$78:$A$90,0),MATCH($B93,'Mar Youth Volleyball'!$A$78:$G$78,0))</f>
        <v>0</v>
      </c>
      <c r="J93" s="388">
        <f ca="1">INDEX(INDIRECT("'"&amp;$B$87&amp;"'!$A$78:$G$90"),MATCH(J$87,'Mar Youth Volleyball'!$A$78:$A$90,0),MATCH($B93,'Mar Youth Volleyball'!$A$78:$G$78,0))</f>
        <v>0</v>
      </c>
      <c r="K93" s="388">
        <f ca="1">INDEX(INDIRECT("'"&amp;$B$87&amp;"'!$A$78:$G$90"),MATCH(K$87,'Mar Youth Volleyball'!$A$78:$A$90,0),MATCH($B93,'Mar Youth Volleyball'!$A$78:$G$78,0))</f>
        <v>0</v>
      </c>
      <c r="L93" s="388">
        <f ca="1">INDEX(INDIRECT("'"&amp;$B$87&amp;"'!$A$78:$G$90"),MATCH(L$87,'Mar Youth Volleyball'!$A$78:$A$90,0),MATCH($B93,'Mar Youth Volleyball'!$A$78:$G$78,0))</f>
        <v>0</v>
      </c>
      <c r="M93" s="388">
        <f ca="1">INDEX(INDIRECT("'"&amp;$B$87&amp;"'!$A$78:$G$90"),MATCH(M$87,'Mar Youth Volleyball'!$A$78:$A$90,0),MATCH($B93,'Mar Youth Volleyball'!$A$78:$G$78,0))</f>
        <v>0</v>
      </c>
      <c r="N93" s="388">
        <f ca="1">INDEX(INDIRECT("'"&amp;$B$87&amp;"'!$A$78:$G$90"),MATCH(N$87,'Mar Youth Volleyball'!$A$78:$A$90,0),MATCH($B93,'Mar Youth Volleyball'!$A$78:$G$78,0))</f>
        <v>0</v>
      </c>
      <c r="O93" s="392"/>
    </row>
    <row r="94" spans="2:15" x14ac:dyDescent="0.25">
      <c r="B94" s="5" t="s">
        <v>3</v>
      </c>
      <c r="C94" s="390">
        <f ca="1">SUBTOTAL(9,C89:C93)</f>
        <v>0</v>
      </c>
      <c r="D94" s="390">
        <f t="shared" ref="D94" ca="1" si="92">SUBTOTAL(9,D89:D93)</f>
        <v>0</v>
      </c>
      <c r="E94" s="390">
        <f t="shared" ref="E94" ca="1" si="93">SUBTOTAL(9,E89:E93)</f>
        <v>0</v>
      </c>
      <c r="F94" s="390">
        <f t="shared" ref="F94" ca="1" si="94">SUBTOTAL(9,F89:F93)</f>
        <v>0</v>
      </c>
      <c r="G94" s="390">
        <f t="shared" ref="G94" ca="1" si="95">SUBTOTAL(9,G89:G93)</f>
        <v>0</v>
      </c>
      <c r="H94" s="390">
        <f t="shared" ref="H94" ca="1" si="96">SUBTOTAL(9,H89:H93)</f>
        <v>1840</v>
      </c>
      <c r="I94" s="390">
        <f t="shared" ref="I94" ca="1" si="97">SUBTOTAL(9,I89:I93)</f>
        <v>0</v>
      </c>
      <c r="J94" s="390">
        <f t="shared" ref="J94" ca="1" si="98">SUBTOTAL(9,J89:J93)</f>
        <v>0</v>
      </c>
      <c r="K94" s="390">
        <f t="shared" ref="K94" ca="1" si="99">SUBTOTAL(9,K89:K93)</f>
        <v>0</v>
      </c>
      <c r="L94" s="390">
        <f t="shared" ref="L94" ca="1" si="100">SUBTOTAL(9,L89:L93)</f>
        <v>0</v>
      </c>
      <c r="M94" s="390">
        <f t="shared" ref="M94" ca="1" si="101">SUBTOTAL(9,M89:M93)</f>
        <v>0</v>
      </c>
      <c r="N94" s="390">
        <f t="shared" ref="N94" ca="1" si="102">SUBTOTAL(9,N89:N93)</f>
        <v>0</v>
      </c>
      <c r="O94" s="392"/>
    </row>
    <row r="95" spans="2:15" ht="15.75" thickBot="1" x14ac:dyDescent="0.3">
      <c r="C95" s="392"/>
      <c r="D95" s="392"/>
      <c r="E95" s="392"/>
      <c r="F95" s="392"/>
      <c r="G95" s="392"/>
      <c r="H95" s="392"/>
      <c r="I95" s="392"/>
      <c r="J95" s="392"/>
      <c r="K95" s="392"/>
      <c r="L95" s="392"/>
      <c r="M95" s="392"/>
      <c r="N95" s="392"/>
      <c r="O95" s="392"/>
    </row>
    <row r="96" spans="2:15" ht="15.75" thickBot="1" x14ac:dyDescent="0.3">
      <c r="B96" s="387" t="s">
        <v>392</v>
      </c>
      <c r="C96" s="389" t="s">
        <v>373</v>
      </c>
      <c r="D96" s="389" t="s">
        <v>349</v>
      </c>
      <c r="E96" s="389" t="s">
        <v>324</v>
      </c>
      <c r="F96" s="389" t="s">
        <v>339</v>
      </c>
      <c r="G96" s="389" t="s">
        <v>227</v>
      </c>
      <c r="H96" s="389" t="s">
        <v>341</v>
      </c>
      <c r="I96" s="389" t="s">
        <v>362</v>
      </c>
      <c r="J96" s="389" t="s">
        <v>344</v>
      </c>
      <c r="K96" s="389" t="s">
        <v>346</v>
      </c>
      <c r="L96" s="389" t="s">
        <v>374</v>
      </c>
      <c r="M96" s="389" t="s">
        <v>296</v>
      </c>
      <c r="N96" s="389" t="s">
        <v>348</v>
      </c>
      <c r="O96" s="392"/>
    </row>
    <row r="97" spans="2:15" x14ac:dyDescent="0.25">
      <c r="C97" s="392"/>
      <c r="D97" s="392"/>
      <c r="E97" s="392"/>
      <c r="F97" s="392"/>
      <c r="G97" s="392"/>
      <c r="H97" s="392"/>
      <c r="I97" s="392"/>
      <c r="J97" s="392"/>
      <c r="K97" s="392"/>
      <c r="L97" s="392"/>
      <c r="M97" s="392"/>
      <c r="N97" s="392"/>
      <c r="O97" s="392"/>
    </row>
    <row r="98" spans="2:15" x14ac:dyDescent="0.25">
      <c r="B98" s="5" t="s">
        <v>16</v>
      </c>
      <c r="C98" s="388">
        <f ca="1">INDEX(INDIRECT("'"&amp;$B$96&amp;"'!$A$78:$G$90"),MATCH(C$96,'Mar Youth Volleyball'!$A$78:$A$90,0),MATCH($B98,'Mar Youth Volleyball'!$A$78:$G$78,0))</f>
        <v>0</v>
      </c>
      <c r="D98" s="388">
        <f ca="1">INDEX(INDIRECT("'"&amp;$B$96&amp;"'!$A$78:$G$90"),MATCH(D$96,'Mar Youth Volleyball'!$A$78:$A$90,0),MATCH($B98,'Mar Youth Volleyball'!$A$78:$G$78,0))</f>
        <v>0</v>
      </c>
      <c r="E98" s="388">
        <f ca="1">INDEX(INDIRECT("'"&amp;$B$96&amp;"'!$A$78:$G$90"),MATCH(E$96,'Mar Youth Volleyball'!$A$78:$A$90,0),MATCH($B98,'Mar Youth Volleyball'!$A$78:$G$78,0))</f>
        <v>0</v>
      </c>
      <c r="F98" s="388">
        <f ca="1">INDEX(INDIRECT("'"&amp;$B$96&amp;"'!$A$78:$G$90"),MATCH(F$96,'Mar Youth Volleyball'!$A$78:$A$90,0),MATCH($B98,'Mar Youth Volleyball'!$A$78:$G$78,0))</f>
        <v>0</v>
      </c>
      <c r="G98" s="388">
        <f ca="1">INDEX(INDIRECT("'"&amp;$B$96&amp;"'!$A$78:$G$90"),MATCH(G$96,'Mar Youth Volleyball'!$A$78:$A$90,0),MATCH($B98,'Mar Youth Volleyball'!$A$78:$G$78,0))</f>
        <v>0</v>
      </c>
      <c r="H98" s="388">
        <f ca="1">INDEX(INDIRECT("'"&amp;$B$96&amp;"'!$A$78:$G$90"),MATCH(H$96,'Mar Youth Volleyball'!$A$78:$A$90,0),MATCH($B98,'Mar Youth Volleyball'!$A$78:$G$78,0))</f>
        <v>0</v>
      </c>
      <c r="I98" s="388">
        <f ca="1">INDEX(INDIRECT("'"&amp;$B$96&amp;"'!$A$78:$G$90"),MATCH(I$96,'Mar Youth Volleyball'!$A$78:$A$90,0),MATCH($B98,'Mar Youth Volleyball'!$A$78:$G$78,0))</f>
        <v>0</v>
      </c>
      <c r="J98" s="388">
        <f ca="1">INDEX(INDIRECT("'"&amp;$B$96&amp;"'!$A$78:$G$90"),MATCH(J$96,'Mar Youth Volleyball'!$A$78:$A$90,0),MATCH($B98,'Mar Youth Volleyball'!$A$78:$G$78,0))</f>
        <v>0</v>
      </c>
      <c r="K98" s="388">
        <f ca="1">INDEX(INDIRECT("'"&amp;$B$96&amp;"'!$A$78:$G$90"),MATCH(K$96,'Mar Youth Volleyball'!$A$78:$A$90,0),MATCH($B98,'Mar Youth Volleyball'!$A$78:$G$78,0))</f>
        <v>0</v>
      </c>
      <c r="L98" s="388">
        <f ca="1">INDEX(INDIRECT("'"&amp;$B$96&amp;"'!$A$78:$G$90"),MATCH(L$96,'Mar Youth Volleyball'!$A$78:$A$90,0),MATCH($B98,'Mar Youth Volleyball'!$A$78:$G$78,0))</f>
        <v>0</v>
      </c>
      <c r="M98" s="388">
        <f ca="1">INDEX(INDIRECT("'"&amp;$B$96&amp;"'!$A$78:$G$90"),MATCH(M$96,'Mar Youth Volleyball'!$A$78:$A$90,0),MATCH($B98,'Mar Youth Volleyball'!$A$78:$G$78,0))</f>
        <v>0</v>
      </c>
      <c r="N98" s="388">
        <f ca="1">INDEX(INDIRECT("'"&amp;$B$96&amp;"'!$A$78:$G$90"),MATCH(N$96,'Mar Youth Volleyball'!$A$78:$A$90,0),MATCH($B98,'Mar Youth Volleyball'!$A$78:$G$78,0))</f>
        <v>0</v>
      </c>
      <c r="O98" s="392"/>
    </row>
    <row r="99" spans="2:15" x14ac:dyDescent="0.25">
      <c r="B99" s="5" t="s">
        <v>18</v>
      </c>
      <c r="C99" s="388">
        <f ca="1">INDEX(INDIRECT("'"&amp;$B$96&amp;"'!$A$78:$G$90"),MATCH(C$96,'Mar Youth Volleyball'!$A$78:$A$90,0),MATCH($B99,'Mar Youth Volleyball'!$A$78:$G$78,0))</f>
        <v>0</v>
      </c>
      <c r="D99" s="388">
        <f ca="1">INDEX(INDIRECT("'"&amp;$B$96&amp;"'!$A$78:$G$90"),MATCH(D$96,'Mar Youth Volleyball'!$A$78:$A$90,0),MATCH($B99,'Mar Youth Volleyball'!$A$78:$G$78,0))</f>
        <v>0</v>
      </c>
      <c r="E99" s="388">
        <f ca="1">INDEX(INDIRECT("'"&amp;$B$96&amp;"'!$A$78:$G$90"),MATCH(E$96,'Mar Youth Volleyball'!$A$78:$A$90,0),MATCH($B99,'Mar Youth Volleyball'!$A$78:$G$78,0))</f>
        <v>0</v>
      </c>
      <c r="F99" s="388">
        <f ca="1">INDEX(INDIRECT("'"&amp;$B$96&amp;"'!$A$78:$G$90"),MATCH(F$96,'Mar Youth Volleyball'!$A$78:$A$90,0),MATCH($B99,'Mar Youth Volleyball'!$A$78:$G$78,0))</f>
        <v>0</v>
      </c>
      <c r="G99" s="388">
        <f ca="1">INDEX(INDIRECT("'"&amp;$B$96&amp;"'!$A$78:$G$90"),MATCH(G$96,'Mar Youth Volleyball'!$A$78:$A$90,0),MATCH($B99,'Mar Youth Volleyball'!$A$78:$G$78,0))</f>
        <v>0</v>
      </c>
      <c r="H99" s="388">
        <f ca="1">INDEX(INDIRECT("'"&amp;$B$96&amp;"'!$A$78:$G$90"),MATCH(H$96,'Mar Youth Volleyball'!$A$78:$A$90,0),MATCH($B99,'Mar Youth Volleyball'!$A$78:$G$78,0))</f>
        <v>7075</v>
      </c>
      <c r="I99" s="388">
        <f ca="1">INDEX(INDIRECT("'"&amp;$B$96&amp;"'!$A$78:$G$90"),MATCH(I$96,'Mar Youth Volleyball'!$A$78:$A$90,0),MATCH($B99,'Mar Youth Volleyball'!$A$78:$G$78,0))</f>
        <v>0</v>
      </c>
      <c r="J99" s="388">
        <f ca="1">INDEX(INDIRECT("'"&amp;$B$96&amp;"'!$A$78:$G$90"),MATCH(J$96,'Mar Youth Volleyball'!$A$78:$A$90,0),MATCH($B99,'Mar Youth Volleyball'!$A$78:$G$78,0))</f>
        <v>0</v>
      </c>
      <c r="K99" s="388">
        <f ca="1">INDEX(INDIRECT("'"&amp;$B$96&amp;"'!$A$78:$G$90"),MATCH(K$96,'Mar Youth Volleyball'!$A$78:$A$90,0),MATCH($B99,'Mar Youth Volleyball'!$A$78:$G$78,0))</f>
        <v>0</v>
      </c>
      <c r="L99" s="388">
        <f ca="1">INDEX(INDIRECT("'"&amp;$B$96&amp;"'!$A$78:$G$90"),MATCH(L$96,'Mar Youth Volleyball'!$A$78:$A$90,0),MATCH($B99,'Mar Youth Volleyball'!$A$78:$G$78,0))</f>
        <v>0</v>
      </c>
      <c r="M99" s="388">
        <f ca="1">INDEX(INDIRECT("'"&amp;$B$96&amp;"'!$A$78:$G$90"),MATCH(M$96,'Mar Youth Volleyball'!$A$78:$A$90,0),MATCH($B99,'Mar Youth Volleyball'!$A$78:$G$78,0))</f>
        <v>0</v>
      </c>
      <c r="N99" s="388">
        <f ca="1">INDEX(INDIRECT("'"&amp;$B$96&amp;"'!$A$78:$G$90"),MATCH(N$96,'Mar Youth Volleyball'!$A$78:$A$90,0),MATCH($B99,'Mar Youth Volleyball'!$A$78:$G$78,0))</f>
        <v>0</v>
      </c>
      <c r="O99" s="392"/>
    </row>
    <row r="100" spans="2:15" x14ac:dyDescent="0.25">
      <c r="B100" s="5" t="s">
        <v>20</v>
      </c>
      <c r="C100" s="388">
        <f ca="1">INDEX(INDIRECT("'"&amp;$B$96&amp;"'!$A$78:$G$90"),MATCH(C$96,'Mar Youth Volleyball'!$A$78:$A$90,0),MATCH($B100,'Mar Youth Volleyball'!$A$78:$G$78,0))</f>
        <v>0</v>
      </c>
      <c r="D100" s="388">
        <f ca="1">INDEX(INDIRECT("'"&amp;$B$96&amp;"'!$A$78:$G$90"),MATCH(D$96,'Mar Youth Volleyball'!$A$78:$A$90,0),MATCH($B100,'Mar Youth Volleyball'!$A$78:$G$78,0))</f>
        <v>0</v>
      </c>
      <c r="E100" s="388">
        <f ca="1">INDEX(INDIRECT("'"&amp;$B$96&amp;"'!$A$78:$G$90"),MATCH(E$96,'Mar Youth Volleyball'!$A$78:$A$90,0),MATCH($B100,'Mar Youth Volleyball'!$A$78:$G$78,0))</f>
        <v>0</v>
      </c>
      <c r="F100" s="388">
        <f ca="1">INDEX(INDIRECT("'"&amp;$B$96&amp;"'!$A$78:$G$90"),MATCH(F$96,'Mar Youth Volleyball'!$A$78:$A$90,0),MATCH($B100,'Mar Youth Volleyball'!$A$78:$G$78,0))</f>
        <v>0</v>
      </c>
      <c r="G100" s="388">
        <f ca="1">INDEX(INDIRECT("'"&amp;$B$96&amp;"'!$A$78:$G$90"),MATCH(G$96,'Mar Youth Volleyball'!$A$78:$A$90,0),MATCH($B100,'Mar Youth Volleyball'!$A$78:$G$78,0))</f>
        <v>0</v>
      </c>
      <c r="H100" s="388">
        <f ca="1">INDEX(INDIRECT("'"&amp;$B$96&amp;"'!$A$78:$G$90"),MATCH(H$96,'Mar Youth Volleyball'!$A$78:$A$90,0),MATCH($B100,'Mar Youth Volleyball'!$A$78:$G$78,0))</f>
        <v>0</v>
      </c>
      <c r="I100" s="388">
        <f ca="1">INDEX(INDIRECT("'"&amp;$B$96&amp;"'!$A$78:$G$90"),MATCH(I$96,'Mar Youth Volleyball'!$A$78:$A$90,0),MATCH($B100,'Mar Youth Volleyball'!$A$78:$G$78,0))</f>
        <v>0</v>
      </c>
      <c r="J100" s="388">
        <f ca="1">INDEX(INDIRECT("'"&amp;$B$96&amp;"'!$A$78:$G$90"),MATCH(J$96,'Mar Youth Volleyball'!$A$78:$A$90,0),MATCH($B100,'Mar Youth Volleyball'!$A$78:$G$78,0))</f>
        <v>0</v>
      </c>
      <c r="K100" s="388">
        <f ca="1">INDEX(INDIRECT("'"&amp;$B$96&amp;"'!$A$78:$G$90"),MATCH(K$96,'Mar Youth Volleyball'!$A$78:$A$90,0),MATCH($B100,'Mar Youth Volleyball'!$A$78:$G$78,0))</f>
        <v>0</v>
      </c>
      <c r="L100" s="388">
        <f ca="1">INDEX(INDIRECT("'"&amp;$B$96&amp;"'!$A$78:$G$90"),MATCH(L$96,'Mar Youth Volleyball'!$A$78:$A$90,0),MATCH($B100,'Mar Youth Volleyball'!$A$78:$G$78,0))</f>
        <v>0</v>
      </c>
      <c r="M100" s="388">
        <f ca="1">INDEX(INDIRECT("'"&amp;$B$96&amp;"'!$A$78:$G$90"),MATCH(M$96,'Mar Youth Volleyball'!$A$78:$A$90,0),MATCH($B100,'Mar Youth Volleyball'!$A$78:$G$78,0))</f>
        <v>0</v>
      </c>
      <c r="N100" s="388">
        <f ca="1">INDEX(INDIRECT("'"&amp;$B$96&amp;"'!$A$78:$G$90"),MATCH(N$96,'Mar Youth Volleyball'!$A$78:$A$90,0),MATCH($B100,'Mar Youth Volleyball'!$A$78:$G$78,0))</f>
        <v>0</v>
      </c>
      <c r="O100" s="392"/>
    </row>
    <row r="101" spans="2:15" x14ac:dyDescent="0.25">
      <c r="B101" s="5" t="s">
        <v>24</v>
      </c>
      <c r="C101" s="388">
        <f ca="1">INDEX(INDIRECT("'"&amp;$B$96&amp;"'!$A$78:$G$90"),MATCH(C$96,'Mar Youth Volleyball'!$A$78:$A$90,0),MATCH($B101,'Mar Youth Volleyball'!$A$78:$G$78,0))</f>
        <v>0</v>
      </c>
      <c r="D101" s="388">
        <f ca="1">INDEX(INDIRECT("'"&amp;$B$96&amp;"'!$A$78:$G$90"),MATCH(D$96,'Mar Youth Volleyball'!$A$78:$A$90,0),MATCH($B101,'Mar Youth Volleyball'!$A$78:$G$78,0))</f>
        <v>0</v>
      </c>
      <c r="E101" s="388">
        <f ca="1">INDEX(INDIRECT("'"&amp;$B$96&amp;"'!$A$78:$G$90"),MATCH(E$96,'Mar Youth Volleyball'!$A$78:$A$90,0),MATCH($B101,'Mar Youth Volleyball'!$A$78:$G$78,0))</f>
        <v>0</v>
      </c>
      <c r="F101" s="388">
        <f ca="1">INDEX(INDIRECT("'"&amp;$B$96&amp;"'!$A$78:$G$90"),MATCH(F$96,'Mar Youth Volleyball'!$A$78:$A$90,0),MATCH($B101,'Mar Youth Volleyball'!$A$78:$G$78,0))</f>
        <v>0</v>
      </c>
      <c r="G101" s="388">
        <f ca="1">INDEX(INDIRECT("'"&amp;$B$96&amp;"'!$A$78:$G$90"),MATCH(G$96,'Mar Youth Volleyball'!$A$78:$A$90,0),MATCH($B101,'Mar Youth Volleyball'!$A$78:$G$78,0))</f>
        <v>0</v>
      </c>
      <c r="H101" s="388">
        <f ca="1">INDEX(INDIRECT("'"&amp;$B$96&amp;"'!$A$78:$G$90"),MATCH(H$96,'Mar Youth Volleyball'!$A$78:$A$90,0),MATCH($B101,'Mar Youth Volleyball'!$A$78:$G$78,0))</f>
        <v>1044.81</v>
      </c>
      <c r="I101" s="388">
        <f ca="1">INDEX(INDIRECT("'"&amp;$B$96&amp;"'!$A$78:$G$90"),MATCH(I$96,'Mar Youth Volleyball'!$A$78:$A$90,0),MATCH($B101,'Mar Youth Volleyball'!$A$78:$G$78,0))</f>
        <v>0</v>
      </c>
      <c r="J101" s="388">
        <f ca="1">INDEX(INDIRECT("'"&amp;$B$96&amp;"'!$A$78:$G$90"),MATCH(J$96,'Mar Youth Volleyball'!$A$78:$A$90,0),MATCH($B101,'Mar Youth Volleyball'!$A$78:$G$78,0))</f>
        <v>0</v>
      </c>
      <c r="K101" s="388">
        <f ca="1">INDEX(INDIRECT("'"&amp;$B$96&amp;"'!$A$78:$G$90"),MATCH(K$96,'Mar Youth Volleyball'!$A$78:$A$90,0),MATCH($B101,'Mar Youth Volleyball'!$A$78:$G$78,0))</f>
        <v>0</v>
      </c>
      <c r="L101" s="388">
        <f ca="1">INDEX(INDIRECT("'"&amp;$B$96&amp;"'!$A$78:$G$90"),MATCH(L$96,'Mar Youth Volleyball'!$A$78:$A$90,0),MATCH($B101,'Mar Youth Volleyball'!$A$78:$G$78,0))</f>
        <v>0</v>
      </c>
      <c r="M101" s="388">
        <f ca="1">INDEX(INDIRECT("'"&amp;$B$96&amp;"'!$A$78:$G$90"),MATCH(M$96,'Mar Youth Volleyball'!$A$78:$A$90,0),MATCH($B101,'Mar Youth Volleyball'!$A$78:$G$78,0))</f>
        <v>0</v>
      </c>
      <c r="N101" s="388">
        <f ca="1">INDEX(INDIRECT("'"&amp;$B$96&amp;"'!$A$78:$G$90"),MATCH(N$96,'Mar Youth Volleyball'!$A$78:$A$90,0),MATCH($B101,'Mar Youth Volleyball'!$A$78:$G$78,0))</f>
        <v>0</v>
      </c>
      <c r="O101" s="392"/>
    </row>
    <row r="102" spans="2:15" x14ac:dyDescent="0.25">
      <c r="B102" s="5" t="s">
        <v>30</v>
      </c>
      <c r="C102" s="388">
        <f ca="1">INDEX(INDIRECT("'"&amp;$B$96&amp;"'!$A$78:$G$90"),MATCH(C$96,'Mar Youth Volleyball'!$A$78:$A$90,0),MATCH($B102,'Mar Youth Volleyball'!$A$78:$G$78,0))</f>
        <v>0</v>
      </c>
      <c r="D102" s="388">
        <f ca="1">INDEX(INDIRECT("'"&amp;$B$96&amp;"'!$A$78:$G$90"),MATCH(D$96,'Mar Youth Volleyball'!$A$78:$A$90,0),MATCH($B102,'Mar Youth Volleyball'!$A$78:$G$78,0))</f>
        <v>0</v>
      </c>
      <c r="E102" s="388">
        <f ca="1">INDEX(INDIRECT("'"&amp;$B$96&amp;"'!$A$78:$G$90"),MATCH(E$96,'Mar Youth Volleyball'!$A$78:$A$90,0),MATCH($B102,'Mar Youth Volleyball'!$A$78:$G$78,0))</f>
        <v>0</v>
      </c>
      <c r="F102" s="388">
        <f ca="1">INDEX(INDIRECT("'"&amp;$B$96&amp;"'!$A$78:$G$90"),MATCH(F$96,'Mar Youth Volleyball'!$A$78:$A$90,0),MATCH($B102,'Mar Youth Volleyball'!$A$78:$G$78,0))</f>
        <v>0</v>
      </c>
      <c r="G102" s="388">
        <f ca="1">INDEX(INDIRECT("'"&amp;$B$96&amp;"'!$A$78:$G$90"),MATCH(G$96,'Mar Youth Volleyball'!$A$78:$A$90,0),MATCH($B102,'Mar Youth Volleyball'!$A$78:$G$78,0))</f>
        <v>0</v>
      </c>
      <c r="H102" s="388">
        <f ca="1">INDEX(INDIRECT("'"&amp;$B$96&amp;"'!$A$78:$G$90"),MATCH(H$96,'Mar Youth Volleyball'!$A$78:$A$90,0),MATCH($B102,'Mar Youth Volleyball'!$A$78:$G$78,0))</f>
        <v>750</v>
      </c>
      <c r="I102" s="388">
        <f ca="1">INDEX(INDIRECT("'"&amp;$B$96&amp;"'!$A$78:$G$90"),MATCH(I$96,'Mar Youth Volleyball'!$A$78:$A$90,0),MATCH($B102,'Mar Youth Volleyball'!$A$78:$G$78,0))</f>
        <v>0</v>
      </c>
      <c r="J102" s="388">
        <f ca="1">INDEX(INDIRECT("'"&amp;$B$96&amp;"'!$A$78:$G$90"),MATCH(J$96,'Mar Youth Volleyball'!$A$78:$A$90,0),MATCH($B102,'Mar Youth Volleyball'!$A$78:$G$78,0))</f>
        <v>0</v>
      </c>
      <c r="K102" s="388">
        <f ca="1">INDEX(INDIRECT("'"&amp;$B$96&amp;"'!$A$78:$G$90"),MATCH(K$96,'Mar Youth Volleyball'!$A$78:$A$90,0),MATCH($B102,'Mar Youth Volleyball'!$A$78:$G$78,0))</f>
        <v>0</v>
      </c>
      <c r="L102" s="388">
        <f ca="1">INDEX(INDIRECT("'"&amp;$B$96&amp;"'!$A$78:$G$90"),MATCH(L$96,'Mar Youth Volleyball'!$A$78:$A$90,0),MATCH($B102,'Mar Youth Volleyball'!$A$78:$G$78,0))</f>
        <v>0</v>
      </c>
      <c r="M102" s="388">
        <f ca="1">INDEX(INDIRECT("'"&amp;$B$96&amp;"'!$A$78:$G$90"),MATCH(M$96,'Mar Youth Volleyball'!$A$78:$A$90,0),MATCH($B102,'Mar Youth Volleyball'!$A$78:$G$78,0))</f>
        <v>0</v>
      </c>
      <c r="N102" s="388">
        <f ca="1">INDEX(INDIRECT("'"&amp;$B$96&amp;"'!$A$78:$G$90"),MATCH(N$96,'Mar Youth Volleyball'!$A$78:$A$90,0),MATCH($B102,'Mar Youth Volleyball'!$A$78:$G$78,0))</f>
        <v>0</v>
      </c>
      <c r="O102" s="392"/>
    </row>
    <row r="103" spans="2:15" x14ac:dyDescent="0.25">
      <c r="B103" s="5" t="s">
        <v>3</v>
      </c>
      <c r="C103" s="390">
        <f ca="1">SUBTOTAL(9,C98:C102)</f>
        <v>0</v>
      </c>
      <c r="D103" s="390">
        <f t="shared" ref="D103" ca="1" si="103">SUBTOTAL(9,D98:D102)</f>
        <v>0</v>
      </c>
      <c r="E103" s="390">
        <f t="shared" ref="E103" ca="1" si="104">SUBTOTAL(9,E98:E102)</f>
        <v>0</v>
      </c>
      <c r="F103" s="390">
        <f t="shared" ref="F103" ca="1" si="105">SUBTOTAL(9,F98:F102)</f>
        <v>0</v>
      </c>
      <c r="G103" s="390">
        <f t="shared" ref="G103" ca="1" si="106">SUBTOTAL(9,G98:G102)</f>
        <v>0</v>
      </c>
      <c r="H103" s="390">
        <f t="shared" ref="H103" ca="1" si="107">SUBTOTAL(9,H98:H102)</f>
        <v>8869.81</v>
      </c>
      <c r="I103" s="390">
        <f t="shared" ref="I103" ca="1" si="108">SUBTOTAL(9,I98:I102)</f>
        <v>0</v>
      </c>
      <c r="J103" s="390">
        <f t="shared" ref="J103" ca="1" si="109">SUBTOTAL(9,J98:J102)</f>
        <v>0</v>
      </c>
      <c r="K103" s="390">
        <f t="shared" ref="K103" ca="1" si="110">SUBTOTAL(9,K98:K102)</f>
        <v>0</v>
      </c>
      <c r="L103" s="390">
        <f t="shared" ref="L103" ca="1" si="111">SUBTOTAL(9,L98:L102)</f>
        <v>0</v>
      </c>
      <c r="M103" s="390">
        <f t="shared" ref="M103" ca="1" si="112">SUBTOTAL(9,M98:M102)</f>
        <v>0</v>
      </c>
      <c r="N103" s="390">
        <f t="shared" ref="N103" ca="1" si="113">SUBTOTAL(9,N98:N102)</f>
        <v>0</v>
      </c>
      <c r="O103" s="392"/>
    </row>
    <row r="104" spans="2:15" ht="15.75" thickBot="1" x14ac:dyDescent="0.3">
      <c r="C104" s="392"/>
      <c r="D104" s="392"/>
      <c r="E104" s="392"/>
      <c r="F104" s="392"/>
      <c r="G104" s="392"/>
      <c r="H104" s="392"/>
      <c r="I104" s="392"/>
      <c r="J104" s="392"/>
      <c r="K104" s="392"/>
      <c r="L104" s="392"/>
      <c r="M104" s="392"/>
      <c r="N104" s="392"/>
      <c r="O104" s="392"/>
    </row>
    <row r="105" spans="2:15" ht="15.75" thickBot="1" x14ac:dyDescent="0.3">
      <c r="B105" s="387" t="s">
        <v>390</v>
      </c>
      <c r="C105" s="389" t="s">
        <v>373</v>
      </c>
      <c r="D105" s="389" t="s">
        <v>349</v>
      </c>
      <c r="E105" s="389" t="s">
        <v>324</v>
      </c>
      <c r="F105" s="389" t="s">
        <v>339</v>
      </c>
      <c r="G105" s="389" t="s">
        <v>227</v>
      </c>
      <c r="H105" s="389" t="s">
        <v>341</v>
      </c>
      <c r="I105" s="389" t="s">
        <v>362</v>
      </c>
      <c r="J105" s="389" t="s">
        <v>344</v>
      </c>
      <c r="K105" s="389" t="s">
        <v>346</v>
      </c>
      <c r="L105" s="389" t="s">
        <v>374</v>
      </c>
      <c r="M105" s="389" t="s">
        <v>296</v>
      </c>
      <c r="N105" s="389" t="s">
        <v>348</v>
      </c>
      <c r="O105" s="392"/>
    </row>
    <row r="106" spans="2:15" x14ac:dyDescent="0.25">
      <c r="C106" s="392"/>
      <c r="D106" s="392"/>
      <c r="E106" s="392"/>
      <c r="F106" s="392"/>
      <c r="G106" s="392"/>
      <c r="H106" s="392"/>
      <c r="I106" s="392"/>
      <c r="J106" s="392"/>
      <c r="K106" s="392"/>
      <c r="L106" s="392"/>
      <c r="M106" s="392"/>
      <c r="N106" s="392"/>
      <c r="O106" s="392"/>
    </row>
    <row r="107" spans="2:15" x14ac:dyDescent="0.25">
      <c r="B107" s="5" t="s">
        <v>16</v>
      </c>
      <c r="C107" s="388">
        <f ca="1">INDEX(INDIRECT("'"&amp;$B$105&amp;"'!$A$78:$G$90"),MATCH(C$105,'Mar Youth Volleyball'!$A$78:$A$90,0),MATCH($B107,'Mar Youth Volleyball'!$A$78:$G$78,0))</f>
        <v>0</v>
      </c>
      <c r="D107" s="388">
        <f ca="1">INDEX(INDIRECT("'"&amp;$B$105&amp;"'!$A$78:$G$90"),MATCH(D$105,'Mar Youth Volleyball'!$A$78:$A$90,0),MATCH($B107,'Mar Youth Volleyball'!$A$78:$G$78,0))</f>
        <v>0</v>
      </c>
      <c r="E107" s="388">
        <f ca="1">INDEX(INDIRECT("'"&amp;$B$105&amp;"'!$A$78:$G$90"),MATCH(E$105,'Mar Youth Volleyball'!$A$78:$A$90,0),MATCH($B107,'Mar Youth Volleyball'!$A$78:$G$78,0))</f>
        <v>0</v>
      </c>
      <c r="F107" s="388">
        <f ca="1">INDEX(INDIRECT("'"&amp;$B$105&amp;"'!$A$78:$G$90"),MATCH(F$105,'Mar Youth Volleyball'!$A$78:$A$90,0),MATCH($B107,'Mar Youth Volleyball'!$A$78:$G$78,0))</f>
        <v>0</v>
      </c>
      <c r="G107" s="388">
        <f ca="1">INDEX(INDIRECT("'"&amp;$B$105&amp;"'!$A$78:$G$90"),MATCH(G$105,'Mar Youth Volleyball'!$A$78:$A$90,0),MATCH($B107,'Mar Youth Volleyball'!$A$78:$G$78,0))</f>
        <v>0</v>
      </c>
      <c r="H107" s="388">
        <f ca="1">INDEX(INDIRECT("'"&amp;$B$105&amp;"'!$A$78:$G$90"),MATCH(H$105,'Mar Youth Volleyball'!$A$78:$A$90,0),MATCH($B107,'Mar Youth Volleyball'!$A$78:$G$78,0))</f>
        <v>0</v>
      </c>
      <c r="I107" s="388">
        <f ca="1">INDEX(INDIRECT("'"&amp;$B$105&amp;"'!$A$78:$G$90"),MATCH(I$105,'Mar Youth Volleyball'!$A$78:$A$90,0),MATCH($B107,'Mar Youth Volleyball'!$A$78:$G$78,0))</f>
        <v>516.66666666666663</v>
      </c>
      <c r="J107" s="388">
        <f ca="1">INDEX(INDIRECT("'"&amp;$B$105&amp;"'!$A$78:$G$90"),MATCH(J$105,'Mar Youth Volleyball'!$A$78:$A$90,0),MATCH($B107,'Mar Youth Volleyball'!$A$78:$G$78,0))</f>
        <v>516.66666666666663</v>
      </c>
      <c r="K107" s="388">
        <f ca="1">INDEX(INDIRECT("'"&amp;$B$105&amp;"'!$A$78:$G$90"),MATCH(K$105,'Mar Youth Volleyball'!$A$78:$A$90,0),MATCH($B107,'Mar Youth Volleyball'!$A$78:$G$78,0))</f>
        <v>516.66666666666663</v>
      </c>
      <c r="L107" s="388">
        <f ca="1">INDEX(INDIRECT("'"&amp;$B$105&amp;"'!$A$78:$G$90"),MATCH(L$105,'Mar Youth Volleyball'!$A$78:$A$90,0),MATCH($B107,'Mar Youth Volleyball'!$A$78:$G$78,0))</f>
        <v>0</v>
      </c>
      <c r="M107" s="388">
        <f ca="1">INDEX(INDIRECT("'"&amp;$B$105&amp;"'!$A$78:$G$90"),MATCH(M$105,'Mar Youth Volleyball'!$A$78:$A$90,0),MATCH($B107,'Mar Youth Volleyball'!$A$78:$G$78,0))</f>
        <v>0</v>
      </c>
      <c r="N107" s="388">
        <f ca="1">INDEX(INDIRECT("'"&amp;$B$105&amp;"'!$A$78:$G$90"),MATCH(N$105,'Mar Youth Volleyball'!$A$78:$A$90,0),MATCH($B107,'Mar Youth Volleyball'!$A$78:$G$78,0))</f>
        <v>0</v>
      </c>
      <c r="O107" s="392"/>
    </row>
    <row r="108" spans="2:15" x14ac:dyDescent="0.25">
      <c r="B108" s="5" t="s">
        <v>18</v>
      </c>
      <c r="C108" s="388">
        <f ca="1">INDEX(INDIRECT("'"&amp;$B$105&amp;"'!$A$78:$G$90"),MATCH(C$105,'Mar Youth Volleyball'!$A$78:$A$90,0),MATCH($B108,'Mar Youth Volleyball'!$A$78:$G$78,0))</f>
        <v>0</v>
      </c>
      <c r="D108" s="388">
        <f ca="1">INDEX(INDIRECT("'"&amp;$B$105&amp;"'!$A$78:$G$90"),MATCH(D$105,'Mar Youth Volleyball'!$A$78:$A$90,0),MATCH($B108,'Mar Youth Volleyball'!$A$78:$G$78,0))</f>
        <v>0</v>
      </c>
      <c r="E108" s="388">
        <f ca="1">INDEX(INDIRECT("'"&amp;$B$105&amp;"'!$A$78:$G$90"),MATCH(E$105,'Mar Youth Volleyball'!$A$78:$A$90,0),MATCH($B108,'Mar Youth Volleyball'!$A$78:$G$78,0))</f>
        <v>0</v>
      </c>
      <c r="F108" s="388">
        <f ca="1">INDEX(INDIRECT("'"&amp;$B$105&amp;"'!$A$78:$G$90"),MATCH(F$105,'Mar Youth Volleyball'!$A$78:$A$90,0),MATCH($B108,'Mar Youth Volleyball'!$A$78:$G$78,0))</f>
        <v>0</v>
      </c>
      <c r="G108" s="388">
        <f ca="1">INDEX(INDIRECT("'"&amp;$B$105&amp;"'!$A$78:$G$90"),MATCH(G$105,'Mar Youth Volleyball'!$A$78:$A$90,0),MATCH($B108,'Mar Youth Volleyball'!$A$78:$G$78,0))</f>
        <v>0</v>
      </c>
      <c r="H108" s="388">
        <f ca="1">INDEX(INDIRECT("'"&amp;$B$105&amp;"'!$A$78:$G$90"),MATCH(H$105,'Mar Youth Volleyball'!$A$78:$A$90,0),MATCH($B108,'Mar Youth Volleyball'!$A$78:$G$78,0))</f>
        <v>0</v>
      </c>
      <c r="I108" s="388">
        <f ca="1">INDEX(INDIRECT("'"&amp;$B$105&amp;"'!$A$78:$G$90"),MATCH(I$105,'Mar Youth Volleyball'!$A$78:$A$90,0),MATCH($B108,'Mar Youth Volleyball'!$A$78:$G$78,0))</f>
        <v>1500</v>
      </c>
      <c r="J108" s="388">
        <f ca="1">INDEX(INDIRECT("'"&amp;$B$105&amp;"'!$A$78:$G$90"),MATCH(J$105,'Mar Youth Volleyball'!$A$78:$A$90,0),MATCH($B108,'Mar Youth Volleyball'!$A$78:$G$78,0))</f>
        <v>0</v>
      </c>
      <c r="K108" s="388">
        <f ca="1">INDEX(INDIRECT("'"&amp;$B$105&amp;"'!$A$78:$G$90"),MATCH(K$105,'Mar Youth Volleyball'!$A$78:$A$90,0),MATCH($B108,'Mar Youth Volleyball'!$A$78:$G$78,0))</f>
        <v>0</v>
      </c>
      <c r="L108" s="388">
        <f ca="1">INDEX(INDIRECT("'"&amp;$B$105&amp;"'!$A$78:$G$90"),MATCH(L$105,'Mar Youth Volleyball'!$A$78:$A$90,0),MATCH($B108,'Mar Youth Volleyball'!$A$78:$G$78,0))</f>
        <v>0</v>
      </c>
      <c r="M108" s="388">
        <f ca="1">INDEX(INDIRECT("'"&amp;$B$105&amp;"'!$A$78:$G$90"),MATCH(M$105,'Mar Youth Volleyball'!$A$78:$A$90,0),MATCH($B108,'Mar Youth Volleyball'!$A$78:$G$78,0))</f>
        <v>0</v>
      </c>
      <c r="N108" s="388">
        <f ca="1">INDEX(INDIRECT("'"&amp;$B$105&amp;"'!$A$78:$G$90"),MATCH(N$105,'Mar Youth Volleyball'!$A$78:$A$90,0),MATCH($B108,'Mar Youth Volleyball'!$A$78:$G$78,0))</f>
        <v>0</v>
      </c>
      <c r="O108" s="392"/>
    </row>
    <row r="109" spans="2:15" x14ac:dyDescent="0.25">
      <c r="B109" s="5" t="s">
        <v>20</v>
      </c>
      <c r="C109" s="388">
        <f ca="1">INDEX(INDIRECT("'"&amp;$B$105&amp;"'!$A$78:$G$90"),MATCH(C$105,'Mar Youth Volleyball'!$A$78:$A$90,0),MATCH($B109,'Mar Youth Volleyball'!$A$78:$G$78,0))</f>
        <v>0</v>
      </c>
      <c r="D109" s="388">
        <f ca="1">INDEX(INDIRECT("'"&amp;$B$105&amp;"'!$A$78:$G$90"),MATCH(D$105,'Mar Youth Volleyball'!$A$78:$A$90,0),MATCH($B109,'Mar Youth Volleyball'!$A$78:$G$78,0))</f>
        <v>0</v>
      </c>
      <c r="E109" s="388">
        <f ca="1">INDEX(INDIRECT("'"&amp;$B$105&amp;"'!$A$78:$G$90"),MATCH(E$105,'Mar Youth Volleyball'!$A$78:$A$90,0),MATCH($B109,'Mar Youth Volleyball'!$A$78:$G$78,0))</f>
        <v>0</v>
      </c>
      <c r="F109" s="388">
        <f ca="1">INDEX(INDIRECT("'"&amp;$B$105&amp;"'!$A$78:$G$90"),MATCH(F$105,'Mar Youth Volleyball'!$A$78:$A$90,0),MATCH($B109,'Mar Youth Volleyball'!$A$78:$G$78,0))</f>
        <v>0</v>
      </c>
      <c r="G109" s="388">
        <f ca="1">INDEX(INDIRECT("'"&amp;$B$105&amp;"'!$A$78:$G$90"),MATCH(G$105,'Mar Youth Volleyball'!$A$78:$A$90,0),MATCH($B109,'Mar Youth Volleyball'!$A$78:$G$78,0))</f>
        <v>0</v>
      </c>
      <c r="H109" s="388">
        <f ca="1">INDEX(INDIRECT("'"&amp;$B$105&amp;"'!$A$78:$G$90"),MATCH(H$105,'Mar Youth Volleyball'!$A$78:$A$90,0),MATCH($B109,'Mar Youth Volleyball'!$A$78:$G$78,0))</f>
        <v>0</v>
      </c>
      <c r="I109" s="388">
        <f ca="1">INDEX(INDIRECT("'"&amp;$B$105&amp;"'!$A$78:$G$90"),MATCH(I$105,'Mar Youth Volleyball'!$A$78:$A$90,0),MATCH($B109,'Mar Youth Volleyball'!$A$78:$G$78,0))</f>
        <v>600</v>
      </c>
      <c r="J109" s="388">
        <f ca="1">INDEX(INDIRECT("'"&amp;$B$105&amp;"'!$A$78:$G$90"),MATCH(J$105,'Mar Youth Volleyball'!$A$78:$A$90,0),MATCH($B109,'Mar Youth Volleyball'!$A$78:$G$78,0))</f>
        <v>0</v>
      </c>
      <c r="K109" s="388">
        <f ca="1">INDEX(INDIRECT("'"&amp;$B$105&amp;"'!$A$78:$G$90"),MATCH(K$105,'Mar Youth Volleyball'!$A$78:$A$90,0),MATCH($B109,'Mar Youth Volleyball'!$A$78:$G$78,0))</f>
        <v>0</v>
      </c>
      <c r="L109" s="388">
        <f ca="1">INDEX(INDIRECT("'"&amp;$B$105&amp;"'!$A$78:$G$90"),MATCH(L$105,'Mar Youth Volleyball'!$A$78:$A$90,0),MATCH($B109,'Mar Youth Volleyball'!$A$78:$G$78,0))</f>
        <v>0</v>
      </c>
      <c r="M109" s="388">
        <f ca="1">INDEX(INDIRECT("'"&amp;$B$105&amp;"'!$A$78:$G$90"),MATCH(M$105,'Mar Youth Volleyball'!$A$78:$A$90,0),MATCH($B109,'Mar Youth Volleyball'!$A$78:$G$78,0))</f>
        <v>0</v>
      </c>
      <c r="N109" s="388">
        <f ca="1">INDEX(INDIRECT("'"&amp;$B$105&amp;"'!$A$78:$G$90"),MATCH(N$105,'Mar Youth Volleyball'!$A$78:$A$90,0),MATCH($B109,'Mar Youth Volleyball'!$A$78:$G$78,0))</f>
        <v>0</v>
      </c>
      <c r="O109" s="392"/>
    </row>
    <row r="110" spans="2:15" x14ac:dyDescent="0.25">
      <c r="B110" s="5" t="s">
        <v>24</v>
      </c>
      <c r="C110" s="388">
        <f ca="1">INDEX(INDIRECT("'"&amp;$B$105&amp;"'!$A$78:$G$90"),MATCH(C$105,'Mar Youth Volleyball'!$A$78:$A$90,0),MATCH($B110,'Mar Youth Volleyball'!$A$78:$G$78,0))</f>
        <v>0</v>
      </c>
      <c r="D110" s="388">
        <f ca="1">INDEX(INDIRECT("'"&amp;$B$105&amp;"'!$A$78:$G$90"),MATCH(D$105,'Mar Youth Volleyball'!$A$78:$A$90,0),MATCH($B110,'Mar Youth Volleyball'!$A$78:$G$78,0))</f>
        <v>0</v>
      </c>
      <c r="E110" s="388">
        <f ca="1">INDEX(INDIRECT("'"&amp;$B$105&amp;"'!$A$78:$G$90"),MATCH(E$105,'Mar Youth Volleyball'!$A$78:$A$90,0),MATCH($B110,'Mar Youth Volleyball'!$A$78:$G$78,0))</f>
        <v>0</v>
      </c>
      <c r="F110" s="388">
        <f ca="1">INDEX(INDIRECT("'"&amp;$B$105&amp;"'!$A$78:$G$90"),MATCH(F$105,'Mar Youth Volleyball'!$A$78:$A$90,0),MATCH($B110,'Mar Youth Volleyball'!$A$78:$G$78,0))</f>
        <v>0</v>
      </c>
      <c r="G110" s="388">
        <f ca="1">INDEX(INDIRECT("'"&amp;$B$105&amp;"'!$A$78:$G$90"),MATCH(G$105,'Mar Youth Volleyball'!$A$78:$A$90,0),MATCH($B110,'Mar Youth Volleyball'!$A$78:$G$78,0))</f>
        <v>0</v>
      </c>
      <c r="H110" s="388">
        <f ca="1">INDEX(INDIRECT("'"&amp;$B$105&amp;"'!$A$78:$G$90"),MATCH(H$105,'Mar Youth Volleyball'!$A$78:$A$90,0),MATCH($B110,'Mar Youth Volleyball'!$A$78:$G$78,0))</f>
        <v>0</v>
      </c>
      <c r="I110" s="388">
        <f ca="1">INDEX(INDIRECT("'"&amp;$B$105&amp;"'!$A$78:$G$90"),MATCH(I$105,'Mar Youth Volleyball'!$A$78:$A$90,0),MATCH($B110,'Mar Youth Volleyball'!$A$78:$G$78,0))</f>
        <v>2338</v>
      </c>
      <c r="J110" s="388">
        <f ca="1">INDEX(INDIRECT("'"&amp;$B$105&amp;"'!$A$78:$G$90"),MATCH(J$105,'Mar Youth Volleyball'!$A$78:$A$90,0),MATCH($B110,'Mar Youth Volleyball'!$A$78:$G$78,0))</f>
        <v>0</v>
      </c>
      <c r="K110" s="388">
        <f ca="1">INDEX(INDIRECT("'"&amp;$B$105&amp;"'!$A$78:$G$90"),MATCH(K$105,'Mar Youth Volleyball'!$A$78:$A$90,0),MATCH($B110,'Mar Youth Volleyball'!$A$78:$G$78,0))</f>
        <v>0</v>
      </c>
      <c r="L110" s="388">
        <f ca="1">INDEX(INDIRECT("'"&amp;$B$105&amp;"'!$A$78:$G$90"),MATCH(L$105,'Mar Youth Volleyball'!$A$78:$A$90,0),MATCH($B110,'Mar Youth Volleyball'!$A$78:$G$78,0))</f>
        <v>0</v>
      </c>
      <c r="M110" s="388">
        <f ca="1">INDEX(INDIRECT("'"&amp;$B$105&amp;"'!$A$78:$G$90"),MATCH(M$105,'Mar Youth Volleyball'!$A$78:$A$90,0),MATCH($B110,'Mar Youth Volleyball'!$A$78:$G$78,0))</f>
        <v>0</v>
      </c>
      <c r="N110" s="388">
        <f ca="1">INDEX(INDIRECT("'"&amp;$B$105&amp;"'!$A$78:$G$90"),MATCH(N$105,'Mar Youth Volleyball'!$A$78:$A$90,0),MATCH($B110,'Mar Youth Volleyball'!$A$78:$G$78,0))</f>
        <v>0</v>
      </c>
      <c r="O110" s="392"/>
    </row>
    <row r="111" spans="2:15" x14ac:dyDescent="0.25">
      <c r="B111" s="5" t="s">
        <v>30</v>
      </c>
      <c r="C111" s="388">
        <f ca="1">INDEX(INDIRECT("'"&amp;$B$105&amp;"'!$A$78:$G$90"),MATCH(C$105,'Mar Youth Volleyball'!$A$78:$A$90,0),MATCH($B111,'Mar Youth Volleyball'!$A$78:$G$78,0))</f>
        <v>0</v>
      </c>
      <c r="D111" s="388">
        <f ca="1">INDEX(INDIRECT("'"&amp;$B$105&amp;"'!$A$78:$G$90"),MATCH(D$105,'Mar Youth Volleyball'!$A$78:$A$90,0),MATCH($B111,'Mar Youth Volleyball'!$A$78:$G$78,0))</f>
        <v>0</v>
      </c>
      <c r="E111" s="388">
        <f ca="1">INDEX(INDIRECT("'"&amp;$B$105&amp;"'!$A$78:$G$90"),MATCH(E$105,'Mar Youth Volleyball'!$A$78:$A$90,0),MATCH($B111,'Mar Youth Volleyball'!$A$78:$G$78,0))</f>
        <v>0</v>
      </c>
      <c r="F111" s="388">
        <f ca="1">INDEX(INDIRECT("'"&amp;$B$105&amp;"'!$A$78:$G$90"),MATCH(F$105,'Mar Youth Volleyball'!$A$78:$A$90,0),MATCH($B111,'Mar Youth Volleyball'!$A$78:$G$78,0))</f>
        <v>0</v>
      </c>
      <c r="G111" s="388">
        <f ca="1">INDEX(INDIRECT("'"&amp;$B$105&amp;"'!$A$78:$G$90"),MATCH(G$105,'Mar Youth Volleyball'!$A$78:$A$90,0),MATCH($B111,'Mar Youth Volleyball'!$A$78:$G$78,0))</f>
        <v>0</v>
      </c>
      <c r="H111" s="388">
        <f ca="1">INDEX(INDIRECT("'"&amp;$B$105&amp;"'!$A$78:$G$90"),MATCH(H$105,'Mar Youth Volleyball'!$A$78:$A$90,0),MATCH($B111,'Mar Youth Volleyball'!$A$78:$G$78,0))</f>
        <v>0</v>
      </c>
      <c r="I111" s="388">
        <f ca="1">INDEX(INDIRECT("'"&amp;$B$105&amp;"'!$A$78:$G$90"),MATCH(I$105,'Mar Youth Volleyball'!$A$78:$A$90,0),MATCH($B111,'Mar Youth Volleyball'!$A$78:$G$78,0))</f>
        <v>1400</v>
      </c>
      <c r="J111" s="388">
        <f ca="1">INDEX(INDIRECT("'"&amp;$B$105&amp;"'!$A$78:$G$90"),MATCH(J$105,'Mar Youth Volleyball'!$A$78:$A$90,0),MATCH($B111,'Mar Youth Volleyball'!$A$78:$G$78,0))</f>
        <v>0</v>
      </c>
      <c r="K111" s="388">
        <f ca="1">INDEX(INDIRECT("'"&amp;$B$105&amp;"'!$A$78:$G$90"),MATCH(K$105,'Mar Youth Volleyball'!$A$78:$A$90,0),MATCH($B111,'Mar Youth Volleyball'!$A$78:$G$78,0))</f>
        <v>0</v>
      </c>
      <c r="L111" s="388">
        <f ca="1">INDEX(INDIRECT("'"&amp;$B$105&amp;"'!$A$78:$G$90"),MATCH(L$105,'Mar Youth Volleyball'!$A$78:$A$90,0),MATCH($B111,'Mar Youth Volleyball'!$A$78:$G$78,0))</f>
        <v>0</v>
      </c>
      <c r="M111" s="388">
        <f ca="1">INDEX(INDIRECT("'"&amp;$B$105&amp;"'!$A$78:$G$90"),MATCH(M$105,'Mar Youth Volleyball'!$A$78:$A$90,0),MATCH($B111,'Mar Youth Volleyball'!$A$78:$G$78,0))</f>
        <v>0</v>
      </c>
      <c r="N111" s="388">
        <f ca="1">INDEX(INDIRECT("'"&amp;$B$105&amp;"'!$A$78:$G$90"),MATCH(N$105,'Mar Youth Volleyball'!$A$78:$A$90,0),MATCH($B111,'Mar Youth Volleyball'!$A$78:$G$78,0))</f>
        <v>0</v>
      </c>
      <c r="O111" s="392"/>
    </row>
    <row r="112" spans="2:15" x14ac:dyDescent="0.25">
      <c r="B112" s="5" t="s">
        <v>3</v>
      </c>
      <c r="C112" s="390">
        <f ca="1">SUBTOTAL(9,C107:C111)</f>
        <v>0</v>
      </c>
      <c r="D112" s="390">
        <f t="shared" ref="D112" ca="1" si="114">SUBTOTAL(9,D107:D111)</f>
        <v>0</v>
      </c>
      <c r="E112" s="390">
        <f t="shared" ref="E112" ca="1" si="115">SUBTOTAL(9,E107:E111)</f>
        <v>0</v>
      </c>
      <c r="F112" s="390">
        <f t="shared" ref="F112" ca="1" si="116">SUBTOTAL(9,F107:F111)</f>
        <v>0</v>
      </c>
      <c r="G112" s="390">
        <f t="shared" ref="G112" ca="1" si="117">SUBTOTAL(9,G107:G111)</f>
        <v>0</v>
      </c>
      <c r="H112" s="390">
        <f t="shared" ref="H112" ca="1" si="118">SUBTOTAL(9,H107:H111)</f>
        <v>0</v>
      </c>
      <c r="I112" s="390">
        <f t="shared" ref="I112" ca="1" si="119">SUBTOTAL(9,I107:I111)</f>
        <v>6354.6666666666661</v>
      </c>
      <c r="J112" s="390">
        <f t="shared" ref="J112" ca="1" si="120">SUBTOTAL(9,J107:J111)</f>
        <v>516.66666666666663</v>
      </c>
      <c r="K112" s="390">
        <f t="shared" ref="K112" ca="1" si="121">SUBTOTAL(9,K107:K111)</f>
        <v>516.66666666666663</v>
      </c>
      <c r="L112" s="390">
        <f t="shared" ref="L112" ca="1" si="122">SUBTOTAL(9,L107:L111)</f>
        <v>0</v>
      </c>
      <c r="M112" s="390">
        <f t="shared" ref="M112" ca="1" si="123">SUBTOTAL(9,M107:M111)</f>
        <v>0</v>
      </c>
      <c r="N112" s="390">
        <f t="shared" ref="N112" ca="1" si="124">SUBTOTAL(9,N107:N111)</f>
        <v>0</v>
      </c>
      <c r="O112" s="392"/>
    </row>
  </sheetData>
  <phoneticPr fontId="55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CC97A-228F-4A2C-BDDA-C8932A6EF559}">
  <sheetPr>
    <tabColor rgb="FFCDC5E5"/>
    <pageSetUpPr fitToPage="1"/>
  </sheetPr>
  <dimension ref="A1:I93"/>
  <sheetViews>
    <sheetView showGridLines="0" zoomScale="120" zoomScaleNormal="120" workbookViewId="0">
      <selection activeCell="A42" sqref="A42:E43"/>
    </sheetView>
  </sheetViews>
  <sheetFormatPr defaultColWidth="8.85546875" defaultRowHeight="15" x14ac:dyDescent="0.25"/>
  <cols>
    <col min="1" max="1" width="35" customWidth="1"/>
    <col min="2" max="2" width="15.28515625" bestFit="1" customWidth="1"/>
    <col min="4" max="4" width="15.42578125" bestFit="1" customWidth="1"/>
    <col min="5" max="5" width="11.42578125" customWidth="1"/>
    <col min="6" max="9" width="12" customWidth="1"/>
  </cols>
  <sheetData>
    <row r="1" spans="1:9" ht="28.5" x14ac:dyDescent="0.45">
      <c r="A1" s="286" t="s">
        <v>238</v>
      </c>
      <c r="B1" s="16"/>
      <c r="C1" s="16"/>
      <c r="D1" s="383" t="s">
        <v>223</v>
      </c>
      <c r="E1" s="300">
        <v>1</v>
      </c>
    </row>
    <row r="2" spans="1:9" x14ac:dyDescent="0.25">
      <c r="A2" s="276" t="s">
        <v>335</v>
      </c>
      <c r="B2" s="16"/>
      <c r="C2" s="274"/>
      <c r="D2" s="1" t="s">
        <v>325</v>
      </c>
      <c r="E2" s="1" t="s">
        <v>323</v>
      </c>
    </row>
    <row r="3" spans="1:9" x14ac:dyDescent="0.25">
      <c r="A3" s="276"/>
      <c r="B3" s="16"/>
      <c r="C3" s="16"/>
      <c r="D3" s="275" t="s">
        <v>324</v>
      </c>
      <c r="E3" s="275" t="s">
        <v>324</v>
      </c>
    </row>
    <row r="5" spans="1:9" ht="15.75" thickBot="1" x14ac:dyDescent="0.3">
      <c r="C5" s="281" t="s">
        <v>336</v>
      </c>
      <c r="D5" s="281"/>
      <c r="E5" s="281"/>
    </row>
    <row r="6" spans="1:9" ht="15.75" thickBot="1" x14ac:dyDescent="0.3">
      <c r="C6" s="284" t="s">
        <v>332</v>
      </c>
      <c r="D6" s="284"/>
      <c r="E6" s="288">
        <f>+E56</f>
        <v>360</v>
      </c>
    </row>
    <row r="7" spans="1:9" ht="15.75" thickBot="1" x14ac:dyDescent="0.3">
      <c r="C7" s="284" t="s">
        <v>331</v>
      </c>
      <c r="D7" s="284"/>
      <c r="E7" s="289">
        <f>+E56/E25</f>
        <v>0.11428571428571428</v>
      </c>
    </row>
    <row r="8" spans="1:9" ht="15.75" thickBot="1" x14ac:dyDescent="0.3">
      <c r="C8" s="284" t="s">
        <v>334</v>
      </c>
      <c r="D8" s="284"/>
      <c r="E8" s="288">
        <f>+E25/B20</f>
        <v>45</v>
      </c>
    </row>
    <row r="9" spans="1:9" ht="15.75" thickBot="1" x14ac:dyDescent="0.3">
      <c r="C9" s="287" t="s">
        <v>333</v>
      </c>
      <c r="D9" s="287"/>
      <c r="E9" s="288">
        <f>+E54/B20</f>
        <v>39.857142857142854</v>
      </c>
    </row>
    <row r="10" spans="1:9" ht="15.75" thickBot="1" x14ac:dyDescent="0.3">
      <c r="C10" s="287" t="s">
        <v>337</v>
      </c>
      <c r="D10" s="287"/>
      <c r="E10" s="285">
        <f>+B20</f>
        <v>70</v>
      </c>
    </row>
    <row r="11" spans="1:9" ht="15.75" thickBot="1" x14ac:dyDescent="0.3">
      <c r="C11" s="287" t="s">
        <v>338</v>
      </c>
      <c r="D11" s="287"/>
      <c r="E11" s="288">
        <f>+E56/B20</f>
        <v>5.1428571428571432</v>
      </c>
    </row>
    <row r="13" spans="1:9" x14ac:dyDescent="0.25">
      <c r="A13" s="259" t="s">
        <v>202</v>
      </c>
      <c r="B13" s="259"/>
      <c r="C13" s="259"/>
      <c r="D13" s="259"/>
      <c r="E13" s="259"/>
    </row>
    <row r="14" spans="1:9" ht="6" customHeight="1" x14ac:dyDescent="0.25"/>
    <row r="15" spans="1:9" s="5" customFormat="1" x14ac:dyDescent="0.25">
      <c r="A15" s="278" t="s">
        <v>329</v>
      </c>
      <c r="B15" s="279" t="s">
        <v>239</v>
      </c>
      <c r="C15" s="279" t="s">
        <v>240</v>
      </c>
      <c r="D15" s="279"/>
      <c r="E15" s="279" t="s">
        <v>240</v>
      </c>
      <c r="F15"/>
      <c r="G15"/>
      <c r="H15"/>
      <c r="I15"/>
    </row>
    <row r="16" spans="1:9" x14ac:dyDescent="0.25">
      <c r="A16" s="277" t="s">
        <v>241</v>
      </c>
      <c r="B16" s="37">
        <v>25</v>
      </c>
      <c r="C16" s="10">
        <v>45</v>
      </c>
      <c r="E16" s="291">
        <f>C16*B16</f>
        <v>1125</v>
      </c>
      <c r="F16" s="5"/>
      <c r="G16" s="5"/>
      <c r="H16" s="5"/>
      <c r="I16" s="5"/>
    </row>
    <row r="17" spans="1:9" x14ac:dyDescent="0.25">
      <c r="A17" s="265" t="s">
        <v>242</v>
      </c>
      <c r="B17" s="37">
        <v>45</v>
      </c>
      <c r="C17" s="10">
        <v>45</v>
      </c>
      <c r="E17" s="291">
        <f>C17*B17</f>
        <v>2025</v>
      </c>
    </row>
    <row r="18" spans="1:9" x14ac:dyDescent="0.25">
      <c r="A18" s="265"/>
      <c r="B18" s="37"/>
      <c r="C18" s="10"/>
      <c r="E18" s="291"/>
    </row>
    <row r="19" spans="1:9" ht="6" customHeight="1" x14ac:dyDescent="0.25">
      <c r="A19" s="265"/>
      <c r="B19" s="37"/>
      <c r="C19" s="10"/>
      <c r="E19" s="291"/>
    </row>
    <row r="20" spans="1:9" x14ac:dyDescent="0.25">
      <c r="A20" s="267" t="s">
        <v>330</v>
      </c>
      <c r="B20" s="174">
        <f>+SUM(B16:B19)</f>
        <v>70</v>
      </c>
      <c r="D20" s="268" t="s">
        <v>321</v>
      </c>
      <c r="E20" s="292">
        <f>SUBTOTAL(9,E16:E19)</f>
        <v>3150</v>
      </c>
    </row>
    <row r="21" spans="1:9" x14ac:dyDescent="0.25">
      <c r="A21" s="267"/>
      <c r="B21" s="290"/>
      <c r="D21" s="268"/>
      <c r="E21" s="293"/>
    </row>
    <row r="22" spans="1:9" x14ac:dyDescent="0.25">
      <c r="A22" s="265"/>
      <c r="B22" s="37"/>
      <c r="C22" s="10"/>
      <c r="E22" s="291"/>
    </row>
    <row r="23" spans="1:9" x14ac:dyDescent="0.25">
      <c r="A23" s="265"/>
      <c r="B23" s="37"/>
      <c r="C23" s="10"/>
      <c r="E23" s="291"/>
    </row>
    <row r="24" spans="1:9" ht="6" customHeight="1" thickBot="1" x14ac:dyDescent="0.3">
      <c r="B24" s="2"/>
      <c r="C24" s="3"/>
      <c r="E24" s="291"/>
    </row>
    <row r="25" spans="1:9" ht="15.75" thickBot="1" x14ac:dyDescent="0.3">
      <c r="A25" s="260" t="s">
        <v>321</v>
      </c>
      <c r="B25" s="261"/>
      <c r="C25" s="262"/>
      <c r="D25" s="263"/>
      <c r="E25" s="294">
        <f>SUBTOTAL(9,E16:E24)</f>
        <v>3150</v>
      </c>
    </row>
    <row r="27" spans="1:9" x14ac:dyDescent="0.25">
      <c r="A27" s="270" t="s">
        <v>224</v>
      </c>
      <c r="B27" s="270"/>
      <c r="C27" s="270"/>
      <c r="D27" s="270"/>
      <c r="E27" s="270"/>
    </row>
    <row r="28" spans="1:9" s="5" customFormat="1" ht="6" customHeight="1" x14ac:dyDescent="0.25">
      <c r="A28"/>
      <c r="B28"/>
      <c r="C28"/>
      <c r="D28"/>
      <c r="E28"/>
      <c r="F28"/>
      <c r="G28"/>
      <c r="H28"/>
      <c r="I28"/>
    </row>
    <row r="29" spans="1:9" ht="15.75" x14ac:dyDescent="0.25">
      <c r="A29" s="271" t="s">
        <v>243</v>
      </c>
      <c r="B29" s="272"/>
      <c r="C29" s="272"/>
      <c r="D29" s="272" t="s">
        <v>244</v>
      </c>
      <c r="E29" s="272" t="s">
        <v>245</v>
      </c>
      <c r="F29" s="5"/>
      <c r="G29" s="5"/>
      <c r="H29" s="5"/>
      <c r="I29" s="5"/>
    </row>
    <row r="30" spans="1:9" x14ac:dyDescent="0.25">
      <c r="A30" t="s">
        <v>24</v>
      </c>
      <c r="C30" s="265"/>
      <c r="D30" s="38">
        <v>12</v>
      </c>
      <c r="E30" s="295">
        <f>D30*B20</f>
        <v>840</v>
      </c>
    </row>
    <row r="31" spans="1:9" x14ac:dyDescent="0.25">
      <c r="C31" s="265"/>
      <c r="D31" s="38"/>
      <c r="E31" s="10"/>
    </row>
    <row r="32" spans="1:9" ht="6" customHeight="1" x14ac:dyDescent="0.25">
      <c r="C32" s="265"/>
      <c r="D32" s="38"/>
      <c r="E32" s="10"/>
    </row>
    <row r="33" spans="1:5" x14ac:dyDescent="0.25">
      <c r="C33" s="268"/>
      <c r="D33" s="268" t="s">
        <v>251</v>
      </c>
      <c r="E33" s="296">
        <f>SUBTOTAL(9,E29:E32)</f>
        <v>840</v>
      </c>
    </row>
    <row r="35" spans="1:5" ht="15.75" x14ac:dyDescent="0.25">
      <c r="A35" s="271" t="s">
        <v>143</v>
      </c>
      <c r="B35" s="272" t="s">
        <v>246</v>
      </c>
      <c r="C35" s="272" t="s">
        <v>247</v>
      </c>
      <c r="D35" s="272" t="s">
        <v>248</v>
      </c>
      <c r="E35" s="272" t="s">
        <v>249</v>
      </c>
    </row>
    <row r="36" spans="1:5" x14ac:dyDescent="0.25">
      <c r="A36" t="s">
        <v>16</v>
      </c>
      <c r="B36" s="265">
        <v>0</v>
      </c>
      <c r="C36" s="265">
        <v>0</v>
      </c>
      <c r="D36" s="38">
        <v>0</v>
      </c>
      <c r="E36" s="297">
        <v>700</v>
      </c>
    </row>
    <row r="37" spans="1:5" x14ac:dyDescent="0.25">
      <c r="B37" s="265"/>
      <c r="C37" s="265"/>
      <c r="D37" s="38"/>
      <c r="E37" s="266"/>
    </row>
    <row r="38" spans="1:5" ht="6" customHeight="1" x14ac:dyDescent="0.25">
      <c r="B38" s="265"/>
      <c r="C38" s="265"/>
      <c r="D38" s="38"/>
      <c r="E38" s="266"/>
    </row>
    <row r="39" spans="1:5" x14ac:dyDescent="0.25">
      <c r="B39" s="265"/>
      <c r="C39" s="268"/>
      <c r="D39" s="5" t="s">
        <v>320</v>
      </c>
      <c r="E39" s="296">
        <f>SUBTOTAL(9,E36:E38)</f>
        <v>700</v>
      </c>
    </row>
    <row r="41" spans="1:5" ht="15.75" x14ac:dyDescent="0.25">
      <c r="A41" s="271" t="s">
        <v>252</v>
      </c>
      <c r="B41" s="272" t="s">
        <v>253</v>
      </c>
      <c r="C41" s="272"/>
      <c r="D41" s="272" t="s">
        <v>254</v>
      </c>
      <c r="E41" s="272" t="s">
        <v>245</v>
      </c>
    </row>
    <row r="42" spans="1:5" x14ac:dyDescent="0.25">
      <c r="A42" t="s">
        <v>18</v>
      </c>
      <c r="B42" s="265">
        <v>1</v>
      </c>
      <c r="C42" s="265"/>
      <c r="D42" s="10">
        <v>1000</v>
      </c>
      <c r="E42" s="291">
        <f>D42*B42</f>
        <v>1000</v>
      </c>
    </row>
    <row r="43" spans="1:5" x14ac:dyDescent="0.25">
      <c r="A43" t="s">
        <v>20</v>
      </c>
      <c r="B43" s="265">
        <v>0</v>
      </c>
      <c r="C43" s="265"/>
      <c r="D43" s="10">
        <v>250</v>
      </c>
      <c r="E43" s="3">
        <f>D43*B43</f>
        <v>0</v>
      </c>
    </row>
    <row r="44" spans="1:5" x14ac:dyDescent="0.25">
      <c r="B44" s="265"/>
      <c r="C44" s="265"/>
      <c r="D44" s="10"/>
      <c r="E44" s="3"/>
    </row>
    <row r="45" spans="1:5" x14ac:dyDescent="0.25">
      <c r="B45" s="265"/>
      <c r="C45" s="265"/>
      <c r="D45" s="10"/>
      <c r="E45" s="3"/>
    </row>
    <row r="46" spans="1:5" ht="6" customHeight="1" x14ac:dyDescent="0.25">
      <c r="E46" s="3"/>
    </row>
    <row r="47" spans="1:5" x14ac:dyDescent="0.25">
      <c r="D47" s="5" t="s">
        <v>320</v>
      </c>
      <c r="E47" s="296">
        <f>SUBTOTAL(9,E42:E46)</f>
        <v>1000</v>
      </c>
    </row>
    <row r="48" spans="1:5" ht="15.75" x14ac:dyDescent="0.25">
      <c r="A48" s="271" t="s">
        <v>258</v>
      </c>
      <c r="B48" s="273"/>
      <c r="C48" s="273"/>
      <c r="D48" s="273"/>
      <c r="E48" s="273"/>
    </row>
    <row r="49" spans="1:5" x14ac:dyDescent="0.25">
      <c r="A49" t="s">
        <v>259</v>
      </c>
      <c r="D49" s="10"/>
      <c r="E49" s="295">
        <v>250</v>
      </c>
    </row>
    <row r="50" spans="1:5" x14ac:dyDescent="0.25">
      <c r="D50" s="10"/>
      <c r="E50" s="10"/>
    </row>
    <row r="51" spans="1:5" ht="6" customHeight="1" x14ac:dyDescent="0.25">
      <c r="D51" s="10"/>
      <c r="E51" s="10"/>
    </row>
    <row r="52" spans="1:5" x14ac:dyDescent="0.25">
      <c r="D52" s="5" t="s">
        <v>320</v>
      </c>
      <c r="E52" s="296">
        <f>SUBTOTAL(9,E49:E51)</f>
        <v>250</v>
      </c>
    </row>
    <row r="53" spans="1:5" x14ac:dyDescent="0.25">
      <c r="E53" s="3"/>
    </row>
    <row r="54" spans="1:5" ht="15.75" x14ac:dyDescent="0.25">
      <c r="A54" s="269" t="s">
        <v>326</v>
      </c>
      <c r="B54" s="269"/>
      <c r="C54" s="269"/>
      <c r="D54" s="269"/>
      <c r="E54" s="298">
        <f>SUBTOTAL(9,E30:E53)</f>
        <v>2790</v>
      </c>
    </row>
    <row r="56" spans="1:5" x14ac:dyDescent="0.25">
      <c r="A56" s="274" t="s">
        <v>322</v>
      </c>
      <c r="B56" s="274"/>
      <c r="C56" s="274"/>
      <c r="D56" s="274"/>
      <c r="E56" s="299">
        <f>+E25-E54</f>
        <v>360</v>
      </c>
    </row>
    <row r="77" spans="1:7" ht="18.75" x14ac:dyDescent="0.3">
      <c r="A77" s="386" t="s">
        <v>378</v>
      </c>
      <c r="B77" s="386"/>
      <c r="C77" s="386"/>
      <c r="D77" s="386"/>
      <c r="E77" s="386"/>
    </row>
    <row r="78" spans="1:7" ht="44.25" customHeight="1" x14ac:dyDescent="0.25">
      <c r="B78" s="384" t="s">
        <v>16</v>
      </c>
      <c r="C78" s="384" t="s">
        <v>18</v>
      </c>
      <c r="D78" s="384" t="s">
        <v>20</v>
      </c>
      <c r="E78" s="384" t="s">
        <v>24</v>
      </c>
      <c r="F78" s="5" t="s">
        <v>30</v>
      </c>
      <c r="G78" s="384" t="s">
        <v>3</v>
      </c>
    </row>
    <row r="79" spans="1:7" x14ac:dyDescent="0.25">
      <c r="A79" t="s">
        <v>373</v>
      </c>
      <c r="B79" s="10"/>
      <c r="C79" s="10"/>
      <c r="D79" s="10"/>
      <c r="E79" s="10"/>
    </row>
    <row r="80" spans="1:7" x14ac:dyDescent="0.25">
      <c r="A80" t="s">
        <v>349</v>
      </c>
      <c r="B80" s="10"/>
      <c r="C80" s="10"/>
      <c r="D80" s="10"/>
      <c r="E80" s="10"/>
    </row>
    <row r="81" spans="1:7" x14ac:dyDescent="0.25">
      <c r="A81" s="258" t="s">
        <v>324</v>
      </c>
      <c r="B81" s="10">
        <f>+E36</f>
        <v>700</v>
      </c>
      <c r="C81" s="10">
        <f>+E42</f>
        <v>1000</v>
      </c>
      <c r="D81" s="10">
        <f>+E43</f>
        <v>0</v>
      </c>
      <c r="E81" s="10">
        <f>+E30</f>
        <v>840</v>
      </c>
      <c r="F81" s="35">
        <f>+E52</f>
        <v>250</v>
      </c>
    </row>
    <row r="82" spans="1:7" x14ac:dyDescent="0.25">
      <c r="A82" t="s">
        <v>339</v>
      </c>
      <c r="B82" s="10"/>
      <c r="C82" s="10"/>
      <c r="D82" s="10"/>
      <c r="E82" s="10"/>
    </row>
    <row r="83" spans="1:7" x14ac:dyDescent="0.25">
      <c r="A83" t="s">
        <v>227</v>
      </c>
      <c r="B83" s="10"/>
      <c r="C83" s="10"/>
      <c r="D83" s="10"/>
      <c r="E83" s="10"/>
    </row>
    <row r="84" spans="1:7" x14ac:dyDescent="0.25">
      <c r="A84" t="s">
        <v>341</v>
      </c>
      <c r="B84" s="10"/>
      <c r="C84" s="10"/>
      <c r="D84" s="10"/>
      <c r="E84" s="10"/>
    </row>
    <row r="85" spans="1:7" x14ac:dyDescent="0.25">
      <c r="A85" t="s">
        <v>362</v>
      </c>
      <c r="B85" s="10"/>
      <c r="C85" s="10"/>
      <c r="D85" s="10"/>
      <c r="E85" s="10"/>
    </row>
    <row r="86" spans="1:7" x14ac:dyDescent="0.25">
      <c r="A86" t="s">
        <v>344</v>
      </c>
      <c r="B86" s="10"/>
      <c r="C86" s="10"/>
      <c r="D86" s="10"/>
      <c r="E86" s="10"/>
    </row>
    <row r="87" spans="1:7" x14ac:dyDescent="0.25">
      <c r="A87" t="s">
        <v>346</v>
      </c>
      <c r="B87" s="10"/>
      <c r="C87" s="10"/>
      <c r="D87" s="10"/>
      <c r="E87" s="10"/>
    </row>
    <row r="88" spans="1:7" x14ac:dyDescent="0.25">
      <c r="A88" t="s">
        <v>374</v>
      </c>
      <c r="B88" s="10"/>
      <c r="C88" s="10"/>
      <c r="D88" s="10"/>
      <c r="E88" s="10"/>
    </row>
    <row r="89" spans="1:7" x14ac:dyDescent="0.25">
      <c r="A89" t="s">
        <v>296</v>
      </c>
      <c r="B89" s="10"/>
      <c r="C89" s="10"/>
      <c r="D89" s="10"/>
      <c r="E89" s="10"/>
    </row>
    <row r="90" spans="1:7" x14ac:dyDescent="0.25">
      <c r="A90" t="s">
        <v>348</v>
      </c>
      <c r="B90" s="10"/>
      <c r="C90" s="10"/>
      <c r="D90" s="10"/>
      <c r="E90" s="10"/>
    </row>
    <row r="91" spans="1:7" x14ac:dyDescent="0.25">
      <c r="G91" s="11"/>
    </row>
    <row r="92" spans="1:7" x14ac:dyDescent="0.25">
      <c r="B92" s="7">
        <f>SUM(B79:B91)</f>
        <v>700</v>
      </c>
      <c r="C92" s="7">
        <f t="shared" ref="C92:F92" si="0">SUM(C79:C91)</f>
        <v>1000</v>
      </c>
      <c r="D92" s="7">
        <f t="shared" si="0"/>
        <v>0</v>
      </c>
      <c r="E92" s="7">
        <f t="shared" si="0"/>
        <v>840</v>
      </c>
      <c r="F92" s="7">
        <f t="shared" si="0"/>
        <v>250</v>
      </c>
      <c r="G92" s="7">
        <f>+SUM(B92:F92)</f>
        <v>2790</v>
      </c>
    </row>
    <row r="93" spans="1:7" x14ac:dyDescent="0.25">
      <c r="A93" t="s">
        <v>379</v>
      </c>
      <c r="B93" s="35"/>
      <c r="C93" s="7"/>
      <c r="D93" s="7"/>
      <c r="E93" s="35"/>
      <c r="F93" s="35"/>
      <c r="G93" s="35">
        <f>+G92-E54</f>
        <v>0</v>
      </c>
    </row>
  </sheetData>
  <mergeCells count="8">
    <mergeCell ref="A77:E77"/>
    <mergeCell ref="C7:D7"/>
    <mergeCell ref="C8:D8"/>
    <mergeCell ref="A27:E27"/>
    <mergeCell ref="A13:E13"/>
    <mergeCell ref="A2:A3"/>
    <mergeCell ref="C5:E5"/>
    <mergeCell ref="C6:D6"/>
  </mergeCells>
  <pageMargins left="0.7" right="0.7" top="0.75" bottom="0.2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0281E-8FAA-4648-946B-02E500913B21}">
  <sheetPr>
    <tabColor rgb="FFCDC5E5"/>
  </sheetPr>
  <dimension ref="A1:I93"/>
  <sheetViews>
    <sheetView showGridLines="0" zoomScale="120" zoomScaleNormal="120" workbookViewId="0"/>
  </sheetViews>
  <sheetFormatPr defaultColWidth="8.85546875" defaultRowHeight="15" x14ac:dyDescent="0.25"/>
  <cols>
    <col min="1" max="1" width="35" customWidth="1"/>
    <col min="2" max="2" width="15.28515625" bestFit="1" customWidth="1"/>
    <col min="4" max="4" width="15.42578125" bestFit="1" customWidth="1"/>
    <col min="5" max="5" width="11.42578125" bestFit="1" customWidth="1"/>
    <col min="6" max="6" width="10.5703125" bestFit="1" customWidth="1"/>
  </cols>
  <sheetData>
    <row r="1" spans="1:9" ht="28.5" x14ac:dyDescent="0.45">
      <c r="A1" s="286" t="s">
        <v>228</v>
      </c>
      <c r="B1" s="16"/>
      <c r="C1" s="16"/>
      <c r="D1" s="383" t="s">
        <v>223</v>
      </c>
      <c r="E1" s="300">
        <v>2</v>
      </c>
    </row>
    <row r="2" spans="1:9" x14ac:dyDescent="0.25">
      <c r="A2" s="276" t="s">
        <v>335</v>
      </c>
      <c r="B2" s="16"/>
      <c r="C2" s="274"/>
      <c r="D2" s="1" t="s">
        <v>325</v>
      </c>
      <c r="E2" s="1" t="s">
        <v>323</v>
      </c>
    </row>
    <row r="3" spans="1:9" ht="15" customHeight="1" x14ac:dyDescent="0.25">
      <c r="A3" s="276"/>
      <c r="B3" s="16"/>
      <c r="C3" s="16"/>
      <c r="D3" s="275" t="s">
        <v>339</v>
      </c>
      <c r="E3" s="275" t="s">
        <v>227</v>
      </c>
    </row>
    <row r="4" spans="1:9" ht="15" customHeight="1" x14ac:dyDescent="0.25"/>
    <row r="5" spans="1:9" ht="15.75" thickBot="1" x14ac:dyDescent="0.3">
      <c r="C5" s="281" t="s">
        <v>336</v>
      </c>
      <c r="D5" s="281"/>
      <c r="E5" s="281"/>
    </row>
    <row r="6" spans="1:9" ht="15.75" thickBot="1" x14ac:dyDescent="0.3">
      <c r="C6" s="284" t="s">
        <v>332</v>
      </c>
      <c r="D6" s="284"/>
      <c r="E6" s="288">
        <f>+E57</f>
        <v>590</v>
      </c>
    </row>
    <row r="7" spans="1:9" ht="15.75" thickBot="1" x14ac:dyDescent="0.3">
      <c r="C7" s="284" t="s">
        <v>331</v>
      </c>
      <c r="D7" s="284"/>
      <c r="E7" s="289">
        <f>+E57/E26</f>
        <v>8.9393939393939401E-2</v>
      </c>
    </row>
    <row r="8" spans="1:9" ht="15.75" thickBot="1" x14ac:dyDescent="0.3">
      <c r="C8" s="284" t="s">
        <v>334</v>
      </c>
      <c r="D8" s="284"/>
      <c r="E8" s="288">
        <f>+E26/B21</f>
        <v>47.142857142857146</v>
      </c>
    </row>
    <row r="9" spans="1:9" s="5" customFormat="1" ht="15" customHeight="1" thickBot="1" x14ac:dyDescent="0.3">
      <c r="A9"/>
      <c r="B9"/>
      <c r="C9" s="287" t="s">
        <v>333</v>
      </c>
      <c r="D9" s="287"/>
      <c r="E9" s="288">
        <f>+E55/B21</f>
        <v>42.928571428571431</v>
      </c>
      <c r="I9"/>
    </row>
    <row r="10" spans="1:9" s="5" customFormat="1" ht="15" customHeight="1" thickBot="1" x14ac:dyDescent="0.3">
      <c r="A10"/>
      <c r="B10"/>
      <c r="C10" s="287" t="s">
        <v>337</v>
      </c>
      <c r="D10" s="287"/>
      <c r="E10" s="285">
        <f>+B21</f>
        <v>140</v>
      </c>
      <c r="I10"/>
    </row>
    <row r="11" spans="1:9" s="5" customFormat="1" ht="15.75" thickBot="1" x14ac:dyDescent="0.3">
      <c r="A11"/>
      <c r="B11"/>
      <c r="C11" s="287" t="s">
        <v>338</v>
      </c>
      <c r="D11" s="287"/>
      <c r="E11" s="288">
        <f>+E57/B21</f>
        <v>4.2142857142857144</v>
      </c>
      <c r="I11"/>
    </row>
    <row r="12" spans="1:9" s="5" customFormat="1" x14ac:dyDescent="0.25">
      <c r="A12"/>
      <c r="B12"/>
      <c r="C12"/>
      <c r="D12"/>
      <c r="E12"/>
      <c r="I12"/>
    </row>
    <row r="13" spans="1:9" x14ac:dyDescent="0.25">
      <c r="A13" s="259" t="s">
        <v>202</v>
      </c>
      <c r="B13" s="259"/>
      <c r="C13" s="259"/>
      <c r="D13" s="259"/>
      <c r="E13" s="259"/>
    </row>
    <row r="14" spans="1:9" x14ac:dyDescent="0.25">
      <c r="A14" s="278" t="s">
        <v>329</v>
      </c>
      <c r="B14" s="279" t="s">
        <v>239</v>
      </c>
      <c r="C14" s="279" t="s">
        <v>240</v>
      </c>
      <c r="D14" s="279"/>
      <c r="E14" s="279" t="s">
        <v>240</v>
      </c>
    </row>
    <row r="15" spans="1:9" x14ac:dyDescent="0.25">
      <c r="A15" s="277" t="s">
        <v>260</v>
      </c>
      <c r="B15" s="37">
        <v>40</v>
      </c>
      <c r="C15" s="10">
        <v>40</v>
      </c>
      <c r="E15" s="3">
        <f t="shared" ref="E15:E18" si="0">C15*B15</f>
        <v>1600</v>
      </c>
    </row>
    <row r="16" spans="1:9" x14ac:dyDescent="0.25">
      <c r="A16" s="265" t="s">
        <v>261</v>
      </c>
      <c r="B16" s="37">
        <v>40</v>
      </c>
      <c r="C16" s="10">
        <v>50</v>
      </c>
      <c r="E16" s="3">
        <f t="shared" si="0"/>
        <v>2000</v>
      </c>
    </row>
    <row r="17" spans="1:5" x14ac:dyDescent="0.25">
      <c r="A17" s="265" t="s">
        <v>262</v>
      </c>
      <c r="B17" s="37">
        <v>40</v>
      </c>
      <c r="C17" s="10">
        <v>50</v>
      </c>
      <c r="E17" s="3">
        <f t="shared" si="0"/>
        <v>2000</v>
      </c>
    </row>
    <row r="18" spans="1:5" x14ac:dyDescent="0.25">
      <c r="A18" s="265" t="s">
        <v>263</v>
      </c>
      <c r="B18" s="37">
        <v>20</v>
      </c>
      <c r="C18" s="10">
        <v>50</v>
      </c>
      <c r="E18" s="3">
        <f t="shared" si="0"/>
        <v>1000</v>
      </c>
    </row>
    <row r="19" spans="1:5" x14ac:dyDescent="0.25">
      <c r="A19" s="265"/>
      <c r="B19" s="37"/>
      <c r="C19" s="10"/>
      <c r="E19" s="3"/>
    </row>
    <row r="20" spans="1:5" s="3" customFormat="1" ht="6" customHeight="1" x14ac:dyDescent="0.25"/>
    <row r="21" spans="1:5" x14ac:dyDescent="0.25">
      <c r="A21" s="267" t="s">
        <v>330</v>
      </c>
      <c r="B21" s="174">
        <f>+SUM(B15:B20)</f>
        <v>140</v>
      </c>
      <c r="D21" s="268" t="s">
        <v>321</v>
      </c>
      <c r="E21" s="280">
        <f>SUBTOTAL(9,E15:E20)</f>
        <v>6600</v>
      </c>
    </row>
    <row r="22" spans="1:5" x14ac:dyDescent="0.25">
      <c r="A22" s="267"/>
      <c r="B22" s="290"/>
      <c r="D22" s="268"/>
      <c r="E22" s="13"/>
    </row>
    <row r="23" spans="1:5" x14ac:dyDescent="0.25">
      <c r="A23" s="265"/>
      <c r="B23" s="37"/>
      <c r="C23" s="10"/>
      <c r="E23" s="3"/>
    </row>
    <row r="24" spans="1:5" x14ac:dyDescent="0.25">
      <c r="A24" s="265"/>
      <c r="B24" s="37"/>
      <c r="C24" s="10"/>
      <c r="E24" s="3"/>
    </row>
    <row r="25" spans="1:5" ht="15.75" thickBot="1" x14ac:dyDescent="0.3">
      <c r="B25" s="2"/>
      <c r="C25" s="3"/>
      <c r="E25" s="3"/>
    </row>
    <row r="26" spans="1:5" ht="15.75" thickBot="1" x14ac:dyDescent="0.3">
      <c r="A26" s="260" t="s">
        <v>321</v>
      </c>
      <c r="B26" s="261"/>
      <c r="C26" s="262"/>
      <c r="D26" s="263"/>
      <c r="E26" s="264">
        <f>SUBTOTAL(9,E15:E25)</f>
        <v>6600</v>
      </c>
    </row>
    <row r="27" spans="1:5" s="5" customFormat="1" x14ac:dyDescent="0.25">
      <c r="A27"/>
      <c r="B27"/>
      <c r="C27"/>
      <c r="D27"/>
      <c r="E27"/>
    </row>
    <row r="28" spans="1:5" x14ac:dyDescent="0.25">
      <c r="A28" s="270" t="s">
        <v>224</v>
      </c>
      <c r="B28" s="270"/>
      <c r="C28" s="270"/>
      <c r="D28" s="270"/>
      <c r="E28" s="270"/>
    </row>
    <row r="30" spans="1:5" ht="15.75" x14ac:dyDescent="0.25">
      <c r="A30" s="271" t="s">
        <v>243</v>
      </c>
      <c r="B30" s="272"/>
      <c r="C30" s="272"/>
      <c r="D30" s="272" t="s">
        <v>244</v>
      </c>
      <c r="E30" s="272" t="s">
        <v>245</v>
      </c>
    </row>
    <row r="31" spans="1:5" x14ac:dyDescent="0.25">
      <c r="A31" t="s">
        <v>24</v>
      </c>
      <c r="C31" s="265"/>
      <c r="D31" s="38">
        <v>16.5</v>
      </c>
      <c r="E31" s="295">
        <f>D31*B21</f>
        <v>2310</v>
      </c>
    </row>
    <row r="32" spans="1:5" x14ac:dyDescent="0.25">
      <c r="C32" s="265"/>
      <c r="D32" s="38"/>
      <c r="E32" s="10"/>
    </row>
    <row r="33" spans="1:5" x14ac:dyDescent="0.25">
      <c r="C33" s="265"/>
      <c r="D33" s="38"/>
      <c r="E33" s="10"/>
    </row>
    <row r="34" spans="1:5" x14ac:dyDescent="0.25">
      <c r="C34" s="268"/>
      <c r="D34" s="268" t="s">
        <v>251</v>
      </c>
      <c r="E34" s="296">
        <f>SUBTOTAL(9,E30:E33)</f>
        <v>2310</v>
      </c>
    </row>
    <row r="36" spans="1:5" ht="15.75" x14ac:dyDescent="0.25">
      <c r="A36" s="271" t="s">
        <v>143</v>
      </c>
      <c r="B36" s="272" t="s">
        <v>246</v>
      </c>
      <c r="C36" s="272" t="s">
        <v>247</v>
      </c>
      <c r="D36" s="272" t="s">
        <v>248</v>
      </c>
      <c r="E36" s="272" t="s">
        <v>249</v>
      </c>
    </row>
    <row r="37" spans="1:5" x14ac:dyDescent="0.25">
      <c r="A37" s="385" t="s">
        <v>16</v>
      </c>
      <c r="B37" s="265">
        <v>0</v>
      </c>
      <c r="C37" s="265">
        <v>0</v>
      </c>
      <c r="D37" s="38">
        <v>0</v>
      </c>
      <c r="E37" s="297">
        <v>1100</v>
      </c>
    </row>
    <row r="38" spans="1:5" x14ac:dyDescent="0.25">
      <c r="B38" s="265"/>
      <c r="C38" s="265"/>
      <c r="D38" s="38"/>
      <c r="E38" s="266"/>
    </row>
    <row r="39" spans="1:5" x14ac:dyDescent="0.25">
      <c r="B39" s="265"/>
      <c r="C39" s="265"/>
      <c r="D39" s="38"/>
      <c r="E39" s="266"/>
    </row>
    <row r="40" spans="1:5" x14ac:dyDescent="0.25">
      <c r="B40" s="265"/>
      <c r="C40" s="268"/>
      <c r="D40" s="5" t="s">
        <v>320</v>
      </c>
      <c r="E40" s="296">
        <f>SUBTOTAL(9,E37:E39)</f>
        <v>1100</v>
      </c>
    </row>
    <row r="42" spans="1:5" ht="15.75" x14ac:dyDescent="0.25">
      <c r="A42" s="271" t="s">
        <v>252</v>
      </c>
      <c r="B42" s="272" t="s">
        <v>253</v>
      </c>
      <c r="C42" s="272"/>
      <c r="D42" s="272" t="s">
        <v>254</v>
      </c>
      <c r="E42" s="272" t="s">
        <v>245</v>
      </c>
    </row>
    <row r="43" spans="1:5" x14ac:dyDescent="0.25">
      <c r="A43" s="385" t="s">
        <v>18</v>
      </c>
      <c r="B43" s="265">
        <v>1</v>
      </c>
      <c r="C43" s="265"/>
      <c r="D43" s="10">
        <v>1100</v>
      </c>
      <c r="E43" s="291">
        <f>D43*B43</f>
        <v>1100</v>
      </c>
    </row>
    <row r="44" spans="1:5" x14ac:dyDescent="0.25">
      <c r="A44" s="385" t="s">
        <v>20</v>
      </c>
      <c r="B44" s="265"/>
      <c r="C44" s="265"/>
      <c r="D44" s="10"/>
      <c r="E44" s="3"/>
    </row>
    <row r="45" spans="1:5" x14ac:dyDescent="0.25">
      <c r="B45" s="265"/>
      <c r="C45" s="265"/>
      <c r="D45" s="10"/>
      <c r="E45" s="3"/>
    </row>
    <row r="46" spans="1:5" x14ac:dyDescent="0.25">
      <c r="B46" s="265"/>
      <c r="C46" s="265"/>
      <c r="D46" s="10"/>
      <c r="E46" s="3"/>
    </row>
    <row r="47" spans="1:5" x14ac:dyDescent="0.25">
      <c r="E47" s="3"/>
    </row>
    <row r="48" spans="1:5" x14ac:dyDescent="0.25">
      <c r="D48" s="5" t="s">
        <v>320</v>
      </c>
      <c r="E48" s="296">
        <f>SUBTOTAL(9,E43:E47)</f>
        <v>1100</v>
      </c>
    </row>
    <row r="49" spans="1:5" ht="15.75" x14ac:dyDescent="0.25">
      <c r="A49" s="271" t="s">
        <v>258</v>
      </c>
      <c r="B49" s="273"/>
      <c r="C49" s="273"/>
      <c r="D49" s="273"/>
      <c r="E49" s="273"/>
    </row>
    <row r="50" spans="1:5" x14ac:dyDescent="0.25">
      <c r="A50" t="s">
        <v>259</v>
      </c>
      <c r="D50" s="10"/>
      <c r="E50" s="295">
        <v>900</v>
      </c>
    </row>
    <row r="51" spans="1:5" x14ac:dyDescent="0.25">
      <c r="A51" t="s">
        <v>340</v>
      </c>
      <c r="D51" s="10"/>
      <c r="E51" s="295">
        <v>600</v>
      </c>
    </row>
    <row r="52" spans="1:5" x14ac:dyDescent="0.25">
      <c r="D52" s="10"/>
      <c r="E52" s="10"/>
    </row>
    <row r="53" spans="1:5" x14ac:dyDescent="0.25">
      <c r="D53" s="5" t="s">
        <v>320</v>
      </c>
      <c r="E53" s="296">
        <f>SUBTOTAL(9,E50:E52)</f>
        <v>1500</v>
      </c>
    </row>
    <row r="54" spans="1:5" x14ac:dyDescent="0.25">
      <c r="E54" s="3"/>
    </row>
    <row r="55" spans="1:5" ht="15.75" x14ac:dyDescent="0.25">
      <c r="A55" s="269" t="s">
        <v>326</v>
      </c>
      <c r="B55" s="269"/>
      <c r="C55" s="269"/>
      <c r="D55" s="269"/>
      <c r="E55" s="298">
        <f>SUBTOTAL(9,E31:E54)</f>
        <v>6010</v>
      </c>
    </row>
    <row r="57" spans="1:5" x14ac:dyDescent="0.25">
      <c r="A57" s="274" t="s">
        <v>322</v>
      </c>
      <c r="B57" s="274"/>
      <c r="C57" s="274"/>
      <c r="D57" s="274"/>
      <c r="E57" s="299">
        <f>+E26-E55</f>
        <v>590</v>
      </c>
    </row>
    <row r="77" spans="1:7" ht="18.75" x14ac:dyDescent="0.3">
      <c r="A77" s="386" t="s">
        <v>378</v>
      </c>
      <c r="B77" s="386"/>
      <c r="C77" s="386"/>
      <c r="D77" s="386"/>
      <c r="E77" s="386"/>
    </row>
    <row r="78" spans="1:7" ht="45" x14ac:dyDescent="0.25">
      <c r="B78" s="384" t="s">
        <v>16</v>
      </c>
      <c r="C78" s="384" t="s">
        <v>18</v>
      </c>
      <c r="D78" s="384" t="s">
        <v>20</v>
      </c>
      <c r="E78" s="384" t="s">
        <v>24</v>
      </c>
      <c r="F78" s="384" t="s">
        <v>30</v>
      </c>
      <c r="G78" s="384" t="s">
        <v>3</v>
      </c>
    </row>
    <row r="79" spans="1:7" x14ac:dyDescent="0.25">
      <c r="A79" t="s">
        <v>373</v>
      </c>
      <c r="B79" s="10"/>
      <c r="C79" s="10"/>
      <c r="D79" s="10"/>
      <c r="E79" s="10"/>
    </row>
    <row r="80" spans="1:7" x14ac:dyDescent="0.25">
      <c r="A80" t="s">
        <v>349</v>
      </c>
      <c r="B80" s="10"/>
      <c r="C80" s="10"/>
      <c r="D80" s="10"/>
      <c r="E80" s="10"/>
    </row>
    <row r="81" spans="1:7" x14ac:dyDescent="0.25">
      <c r="A81" t="s">
        <v>324</v>
      </c>
      <c r="B81" s="10"/>
      <c r="C81" s="10"/>
      <c r="D81" s="10"/>
      <c r="E81" s="10"/>
    </row>
    <row r="82" spans="1:7" x14ac:dyDescent="0.25">
      <c r="A82" s="258" t="s">
        <v>339</v>
      </c>
      <c r="B82" s="10">
        <f>+E37/$E$1</f>
        <v>550</v>
      </c>
      <c r="C82" s="10">
        <f>+E43</f>
        <v>1100</v>
      </c>
      <c r="D82" s="10">
        <f>+E44</f>
        <v>0</v>
      </c>
      <c r="E82" s="10">
        <f>+E31</f>
        <v>2310</v>
      </c>
      <c r="F82" s="35">
        <f>+E53</f>
        <v>1500</v>
      </c>
    </row>
    <row r="83" spans="1:7" x14ac:dyDescent="0.25">
      <c r="A83" s="258" t="s">
        <v>227</v>
      </c>
      <c r="B83" s="10">
        <f>+B82</f>
        <v>550</v>
      </c>
      <c r="C83" s="10"/>
      <c r="D83" s="10"/>
      <c r="E83" s="10"/>
    </row>
    <row r="84" spans="1:7" x14ac:dyDescent="0.25">
      <c r="A84" t="s">
        <v>341</v>
      </c>
      <c r="B84" s="10"/>
      <c r="C84" s="10"/>
      <c r="D84" s="10"/>
      <c r="E84" s="10"/>
    </row>
    <row r="85" spans="1:7" x14ac:dyDescent="0.25">
      <c r="A85" t="s">
        <v>362</v>
      </c>
      <c r="B85" s="10"/>
      <c r="C85" s="10"/>
      <c r="D85" s="10"/>
      <c r="E85" s="10"/>
    </row>
    <row r="86" spans="1:7" x14ac:dyDescent="0.25">
      <c r="A86" t="s">
        <v>344</v>
      </c>
      <c r="B86" s="10"/>
      <c r="C86" s="10"/>
      <c r="D86" s="10"/>
      <c r="E86" s="10"/>
    </row>
    <row r="87" spans="1:7" x14ac:dyDescent="0.25">
      <c r="A87" t="s">
        <v>346</v>
      </c>
      <c r="B87" s="10"/>
      <c r="C87" s="10"/>
      <c r="D87" s="10"/>
      <c r="E87" s="10"/>
    </row>
    <row r="88" spans="1:7" x14ac:dyDescent="0.25">
      <c r="A88" t="s">
        <v>374</v>
      </c>
      <c r="B88" s="10"/>
      <c r="C88" s="10"/>
      <c r="D88" s="10"/>
      <c r="E88" s="10"/>
    </row>
    <row r="89" spans="1:7" x14ac:dyDescent="0.25">
      <c r="A89" t="s">
        <v>296</v>
      </c>
      <c r="B89" s="10"/>
      <c r="C89" s="10"/>
      <c r="D89" s="10"/>
      <c r="E89" s="10"/>
    </row>
    <row r="90" spans="1:7" x14ac:dyDescent="0.25">
      <c r="A90" t="s">
        <v>348</v>
      </c>
      <c r="B90" s="10"/>
      <c r="C90" s="10"/>
      <c r="D90" s="10"/>
      <c r="E90" s="10"/>
    </row>
    <row r="92" spans="1:7" x14ac:dyDescent="0.25">
      <c r="B92" s="7">
        <f>SUM(B79:B91)</f>
        <v>1100</v>
      </c>
      <c r="C92" s="7">
        <f t="shared" ref="C92:F92" si="1">SUM(C79:C91)</f>
        <v>1100</v>
      </c>
      <c r="D92" s="7">
        <f t="shared" si="1"/>
        <v>0</v>
      </c>
      <c r="E92" s="7">
        <f t="shared" si="1"/>
        <v>2310</v>
      </c>
      <c r="F92" s="7">
        <f t="shared" si="1"/>
        <v>1500</v>
      </c>
      <c r="G92" s="7">
        <f>+SUM(B92:F92)</f>
        <v>6010</v>
      </c>
    </row>
    <row r="93" spans="1:7" x14ac:dyDescent="0.25">
      <c r="A93" t="s">
        <v>379</v>
      </c>
      <c r="B93" s="35"/>
      <c r="C93" s="7"/>
      <c r="D93" s="7"/>
      <c r="E93" s="35"/>
      <c r="F93" s="35"/>
      <c r="G93" s="35">
        <f>+G92-E55</f>
        <v>0</v>
      </c>
    </row>
  </sheetData>
  <mergeCells count="8">
    <mergeCell ref="A77:E77"/>
    <mergeCell ref="C5:E5"/>
    <mergeCell ref="C6:D6"/>
    <mergeCell ref="C7:D7"/>
    <mergeCell ref="C8:D8"/>
    <mergeCell ref="A13:E13"/>
    <mergeCell ref="A28:E28"/>
    <mergeCell ref="A2:A3"/>
  </mergeCells>
  <pageMargins left="0.7" right="0.7" top="0.75" bottom="0.2" header="0.3" footer="0.3"/>
  <pageSetup orientation="portrait" verticalDpi="12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49968-A802-4451-9213-3FE98012BFC8}">
  <sheetPr>
    <tabColor rgb="FFCDC5E5"/>
    <pageSetUpPr fitToPage="1"/>
  </sheetPr>
  <dimension ref="A1:I93"/>
  <sheetViews>
    <sheetView showGridLines="0" zoomScale="130" zoomScaleNormal="130" workbookViewId="0"/>
  </sheetViews>
  <sheetFormatPr defaultColWidth="8.85546875" defaultRowHeight="15" x14ac:dyDescent="0.25"/>
  <cols>
    <col min="1" max="1" width="35" customWidth="1"/>
    <col min="2" max="2" width="15.28515625" bestFit="1" customWidth="1"/>
    <col min="4" max="4" width="15.42578125" bestFit="1" customWidth="1"/>
    <col min="5" max="5" width="12.7109375" bestFit="1" customWidth="1"/>
    <col min="6" max="6" width="10.5703125" bestFit="1" customWidth="1"/>
  </cols>
  <sheetData>
    <row r="1" spans="1:9" ht="28.5" x14ac:dyDescent="0.45">
      <c r="A1" s="286" t="s">
        <v>342</v>
      </c>
      <c r="B1" s="16"/>
      <c r="C1" s="16"/>
      <c r="D1" s="383" t="s">
        <v>223</v>
      </c>
      <c r="E1" s="300">
        <v>2</v>
      </c>
    </row>
    <row r="2" spans="1:9" x14ac:dyDescent="0.25">
      <c r="A2" s="276" t="s">
        <v>335</v>
      </c>
      <c r="B2" s="16"/>
      <c r="C2" s="274"/>
      <c r="D2" s="1" t="s">
        <v>325</v>
      </c>
      <c r="E2" s="1" t="s">
        <v>323</v>
      </c>
    </row>
    <row r="3" spans="1:9" ht="15" customHeight="1" x14ac:dyDescent="0.25">
      <c r="A3" s="276"/>
      <c r="B3" s="16"/>
      <c r="C3" s="16"/>
      <c r="D3" s="275" t="s">
        <v>227</v>
      </c>
      <c r="E3" s="275" t="s">
        <v>341</v>
      </c>
    </row>
    <row r="4" spans="1:9" ht="15" customHeight="1" x14ac:dyDescent="0.25"/>
    <row r="5" spans="1:9" ht="15.75" thickBot="1" x14ac:dyDescent="0.3">
      <c r="C5" s="281" t="s">
        <v>336</v>
      </c>
      <c r="D5" s="281"/>
      <c r="E5" s="281"/>
    </row>
    <row r="6" spans="1:9" ht="15.75" thickBot="1" x14ac:dyDescent="0.3">
      <c r="C6" s="284" t="s">
        <v>332</v>
      </c>
      <c r="D6" s="284"/>
      <c r="E6" s="288">
        <f>+E57</f>
        <v>620</v>
      </c>
    </row>
    <row r="7" spans="1:9" ht="15.75" thickBot="1" x14ac:dyDescent="0.3">
      <c r="C7" s="284" t="s">
        <v>331</v>
      </c>
      <c r="D7" s="284"/>
      <c r="E7" s="289">
        <f>+E57/E26</f>
        <v>4.4222539229671898E-2</v>
      </c>
    </row>
    <row r="8" spans="1:9" ht="15.75" thickBot="1" x14ac:dyDescent="0.3">
      <c r="C8" s="284" t="s">
        <v>334</v>
      </c>
      <c r="D8" s="284"/>
      <c r="E8" s="288">
        <f>+E26/B21</f>
        <v>54.765625</v>
      </c>
    </row>
    <row r="9" spans="1:9" s="5" customFormat="1" ht="15" customHeight="1" thickBot="1" x14ac:dyDescent="0.3">
      <c r="A9"/>
      <c r="B9"/>
      <c r="C9" s="287" t="s">
        <v>333</v>
      </c>
      <c r="D9" s="287"/>
      <c r="E9" s="288">
        <f>+E55/B21</f>
        <v>52.34375</v>
      </c>
      <c r="I9"/>
    </row>
    <row r="10" spans="1:9" s="5" customFormat="1" ht="15" customHeight="1" thickBot="1" x14ac:dyDescent="0.3">
      <c r="A10"/>
      <c r="B10"/>
      <c r="C10" s="287" t="s">
        <v>337</v>
      </c>
      <c r="D10" s="287"/>
      <c r="E10" s="285">
        <f>+B21</f>
        <v>256</v>
      </c>
      <c r="I10"/>
    </row>
    <row r="11" spans="1:9" s="5" customFormat="1" ht="15.75" thickBot="1" x14ac:dyDescent="0.3">
      <c r="A11"/>
      <c r="B11"/>
      <c r="C11" s="287" t="s">
        <v>338</v>
      </c>
      <c r="D11" s="287"/>
      <c r="E11" s="288">
        <f>+E57/B21</f>
        <v>2.421875</v>
      </c>
      <c r="I11"/>
    </row>
    <row r="12" spans="1:9" s="5" customFormat="1" x14ac:dyDescent="0.25">
      <c r="A12"/>
      <c r="B12"/>
      <c r="C12"/>
      <c r="D12"/>
      <c r="E12"/>
      <c r="I12"/>
    </row>
    <row r="13" spans="1:9" x14ac:dyDescent="0.25">
      <c r="A13" s="259" t="s">
        <v>202</v>
      </c>
      <c r="B13" s="259"/>
      <c r="C13" s="259"/>
      <c r="D13" s="259"/>
      <c r="E13" s="259"/>
    </row>
    <row r="14" spans="1:9" x14ac:dyDescent="0.25">
      <c r="A14" s="278" t="s">
        <v>329</v>
      </c>
      <c r="B14" s="279" t="s">
        <v>239</v>
      </c>
      <c r="C14" s="279" t="s">
        <v>240</v>
      </c>
      <c r="D14" s="279"/>
      <c r="E14" s="279" t="s">
        <v>240</v>
      </c>
    </row>
    <row r="15" spans="1:9" x14ac:dyDescent="0.25">
      <c r="A15" s="277" t="s">
        <v>264</v>
      </c>
      <c r="B15" s="37">
        <v>131</v>
      </c>
      <c r="C15" s="10">
        <v>45</v>
      </c>
      <c r="E15" s="3">
        <f t="shared" ref="E15:E18" si="0">C15*B15</f>
        <v>5895</v>
      </c>
    </row>
    <row r="16" spans="1:9" x14ac:dyDescent="0.25">
      <c r="A16" s="265" t="s">
        <v>265</v>
      </c>
      <c r="B16" s="37">
        <v>90</v>
      </c>
      <c r="C16" s="10">
        <v>65</v>
      </c>
      <c r="E16" s="3">
        <f t="shared" si="0"/>
        <v>5850</v>
      </c>
    </row>
    <row r="17" spans="1:5" x14ac:dyDescent="0.25">
      <c r="A17" s="265" t="s">
        <v>266</v>
      </c>
      <c r="B17" s="37">
        <v>20</v>
      </c>
      <c r="C17" s="10">
        <v>65</v>
      </c>
      <c r="E17" s="3">
        <f t="shared" si="0"/>
        <v>1300</v>
      </c>
    </row>
    <row r="18" spans="1:5" x14ac:dyDescent="0.25">
      <c r="A18" s="265" t="s">
        <v>267</v>
      </c>
      <c r="B18" s="37">
        <v>15</v>
      </c>
      <c r="C18" s="10">
        <v>65</v>
      </c>
      <c r="E18" s="3">
        <f t="shared" si="0"/>
        <v>975</v>
      </c>
    </row>
    <row r="19" spans="1:5" x14ac:dyDescent="0.25">
      <c r="A19" s="265"/>
      <c r="B19" s="37"/>
      <c r="C19" s="10"/>
      <c r="E19" s="3"/>
    </row>
    <row r="20" spans="1:5" s="3" customFormat="1" ht="6" customHeight="1" x14ac:dyDescent="0.25"/>
    <row r="21" spans="1:5" x14ac:dyDescent="0.25">
      <c r="A21" s="267" t="s">
        <v>330</v>
      </c>
      <c r="B21" s="174">
        <f>+SUM(B15:B20)</f>
        <v>256</v>
      </c>
      <c r="D21" s="268" t="s">
        <v>321</v>
      </c>
      <c r="E21" s="280">
        <f>SUBTOTAL(9,E15:E20)</f>
        <v>14020</v>
      </c>
    </row>
    <row r="22" spans="1:5" x14ac:dyDescent="0.25">
      <c r="A22" s="267"/>
      <c r="B22" s="290"/>
      <c r="D22" s="268"/>
      <c r="E22" s="13"/>
    </row>
    <row r="23" spans="1:5" x14ac:dyDescent="0.25">
      <c r="A23" s="265"/>
      <c r="B23" s="37"/>
      <c r="C23" s="10"/>
      <c r="E23" s="3"/>
    </row>
    <row r="24" spans="1:5" x14ac:dyDescent="0.25">
      <c r="A24" s="265"/>
      <c r="B24" s="37"/>
      <c r="C24" s="10"/>
      <c r="E24" s="3"/>
    </row>
    <row r="25" spans="1:5" ht="15.75" thickBot="1" x14ac:dyDescent="0.3">
      <c r="B25" s="2"/>
      <c r="C25" s="3"/>
      <c r="E25" s="3"/>
    </row>
    <row r="26" spans="1:5" ht="15.75" thickBot="1" x14ac:dyDescent="0.3">
      <c r="A26" s="260" t="s">
        <v>321</v>
      </c>
      <c r="B26" s="261"/>
      <c r="C26" s="262"/>
      <c r="D26" s="263"/>
      <c r="E26" s="264">
        <f>SUBTOTAL(9,E15:E25)</f>
        <v>14020</v>
      </c>
    </row>
    <row r="27" spans="1:5" s="5" customFormat="1" x14ac:dyDescent="0.25">
      <c r="A27"/>
      <c r="B27"/>
      <c r="C27"/>
      <c r="D27"/>
      <c r="E27"/>
    </row>
    <row r="28" spans="1:5" x14ac:dyDescent="0.25">
      <c r="A28" s="270" t="s">
        <v>224</v>
      </c>
      <c r="B28" s="270"/>
      <c r="C28" s="270"/>
      <c r="D28" s="270"/>
      <c r="E28" s="270"/>
    </row>
    <row r="30" spans="1:5" ht="15.75" x14ac:dyDescent="0.25">
      <c r="A30" s="271" t="s">
        <v>243</v>
      </c>
      <c r="B30" s="272"/>
      <c r="C30" s="272"/>
      <c r="D30" s="272" t="s">
        <v>244</v>
      </c>
      <c r="E30" s="272" t="s">
        <v>245</v>
      </c>
    </row>
    <row r="31" spans="1:5" x14ac:dyDescent="0.25">
      <c r="A31" t="s">
        <v>24</v>
      </c>
      <c r="C31" s="265"/>
      <c r="D31" s="38">
        <v>25</v>
      </c>
      <c r="E31" s="295">
        <f>D31*B21</f>
        <v>6400</v>
      </c>
    </row>
    <row r="32" spans="1:5" x14ac:dyDescent="0.25">
      <c r="C32" s="265"/>
      <c r="D32" s="38"/>
      <c r="E32" s="10"/>
    </row>
    <row r="33" spans="1:5" x14ac:dyDescent="0.25">
      <c r="C33" s="265"/>
      <c r="D33" s="38"/>
      <c r="E33" s="10"/>
    </row>
    <row r="34" spans="1:5" x14ac:dyDescent="0.25">
      <c r="C34" s="268"/>
      <c r="D34" s="268" t="s">
        <v>251</v>
      </c>
      <c r="E34" s="296">
        <f>SUBTOTAL(9,E30:E33)</f>
        <v>6400</v>
      </c>
    </row>
    <row r="36" spans="1:5" ht="15.75" x14ac:dyDescent="0.25">
      <c r="A36" s="271" t="s">
        <v>143</v>
      </c>
      <c r="B36" s="272" t="s">
        <v>246</v>
      </c>
      <c r="C36" s="272" t="s">
        <v>247</v>
      </c>
      <c r="D36" s="272" t="s">
        <v>248</v>
      </c>
      <c r="E36" s="272" t="s">
        <v>249</v>
      </c>
    </row>
    <row r="37" spans="1:5" x14ac:dyDescent="0.25">
      <c r="A37" t="s">
        <v>16</v>
      </c>
      <c r="B37" s="265">
        <v>0</v>
      </c>
      <c r="C37" s="265">
        <v>0</v>
      </c>
      <c r="D37" s="38">
        <v>0</v>
      </c>
      <c r="E37" s="297">
        <v>3000</v>
      </c>
    </row>
    <row r="38" spans="1:5" x14ac:dyDescent="0.25">
      <c r="B38" s="265"/>
      <c r="C38" s="265"/>
      <c r="D38" s="38"/>
      <c r="E38" s="266"/>
    </row>
    <row r="39" spans="1:5" x14ac:dyDescent="0.25">
      <c r="B39" s="265"/>
      <c r="C39" s="265"/>
      <c r="D39" s="38"/>
      <c r="E39" s="266"/>
    </row>
    <row r="40" spans="1:5" x14ac:dyDescent="0.25">
      <c r="B40" s="265"/>
      <c r="C40" s="268"/>
      <c r="D40" s="5" t="s">
        <v>320</v>
      </c>
      <c r="E40" s="296">
        <f>SUBTOTAL(9,E37:E39)</f>
        <v>3000</v>
      </c>
    </row>
    <row r="42" spans="1:5" ht="15.75" x14ac:dyDescent="0.25">
      <c r="A42" s="271" t="s">
        <v>252</v>
      </c>
      <c r="B42" s="272" t="s">
        <v>253</v>
      </c>
      <c r="C42" s="272"/>
      <c r="D42" s="272" t="s">
        <v>254</v>
      </c>
      <c r="E42" s="272" t="s">
        <v>245</v>
      </c>
    </row>
    <row r="43" spans="1:5" x14ac:dyDescent="0.25">
      <c r="A43" t="s">
        <v>269</v>
      </c>
      <c r="B43" s="265">
        <v>1</v>
      </c>
      <c r="C43" s="265"/>
      <c r="D43" s="10">
        <v>500</v>
      </c>
      <c r="E43" s="291">
        <f>D43*B43</f>
        <v>500</v>
      </c>
    </row>
    <row r="44" spans="1:5" x14ac:dyDescent="0.25">
      <c r="A44" t="s">
        <v>229</v>
      </c>
      <c r="B44" s="265">
        <v>1</v>
      </c>
      <c r="C44" s="265"/>
      <c r="D44" s="10">
        <v>500</v>
      </c>
      <c r="E44" s="3">
        <f>D44*B44</f>
        <v>500</v>
      </c>
    </row>
    <row r="45" spans="1:5" x14ac:dyDescent="0.25">
      <c r="A45" t="s">
        <v>270</v>
      </c>
      <c r="B45" s="265">
        <v>1</v>
      </c>
      <c r="C45" s="265"/>
      <c r="D45" s="10">
        <v>2000</v>
      </c>
      <c r="E45" s="3">
        <f>D45*B45</f>
        <v>2000</v>
      </c>
    </row>
    <row r="46" spans="1:5" x14ac:dyDescent="0.25">
      <c r="B46" s="265"/>
      <c r="C46" s="265"/>
      <c r="D46" s="10"/>
      <c r="E46" s="3"/>
    </row>
    <row r="47" spans="1:5" x14ac:dyDescent="0.25">
      <c r="E47" s="3"/>
    </row>
    <row r="48" spans="1:5" x14ac:dyDescent="0.25">
      <c r="D48" s="5" t="s">
        <v>320</v>
      </c>
      <c r="E48" s="296">
        <f>SUBTOTAL(9,E43:E47)</f>
        <v>3000</v>
      </c>
    </row>
    <row r="49" spans="1:5" ht="15.75" x14ac:dyDescent="0.25">
      <c r="A49" s="271" t="s">
        <v>258</v>
      </c>
      <c r="B49" s="273"/>
      <c r="C49" s="273"/>
      <c r="D49" s="273"/>
      <c r="E49" s="273"/>
    </row>
    <row r="50" spans="1:5" x14ac:dyDescent="0.25">
      <c r="A50" t="s">
        <v>259</v>
      </c>
      <c r="D50" s="10"/>
      <c r="E50" s="295">
        <v>1000</v>
      </c>
    </row>
    <row r="51" spans="1:5" x14ac:dyDescent="0.25">
      <c r="D51" s="10"/>
      <c r="E51" s="295"/>
    </row>
    <row r="52" spans="1:5" x14ac:dyDescent="0.25">
      <c r="D52" s="10"/>
      <c r="E52" s="10"/>
    </row>
    <row r="53" spans="1:5" x14ac:dyDescent="0.25">
      <c r="D53" s="5" t="s">
        <v>320</v>
      </c>
      <c r="E53" s="296">
        <f>SUBTOTAL(9,E50:E52)</f>
        <v>1000</v>
      </c>
    </row>
    <row r="54" spans="1:5" x14ac:dyDescent="0.25">
      <c r="E54" s="3"/>
    </row>
    <row r="55" spans="1:5" ht="15.75" x14ac:dyDescent="0.25">
      <c r="A55" s="269" t="s">
        <v>326</v>
      </c>
      <c r="B55" s="269"/>
      <c r="C55" s="269"/>
      <c r="D55" s="269"/>
      <c r="E55" s="298">
        <f>SUBTOTAL(9,E31:E54)</f>
        <v>13400</v>
      </c>
    </row>
    <row r="57" spans="1:5" x14ac:dyDescent="0.25">
      <c r="A57" s="274" t="s">
        <v>322</v>
      </c>
      <c r="B57" s="274"/>
      <c r="C57" s="274"/>
      <c r="D57" s="274"/>
      <c r="E57" s="299">
        <f>+E26-E55</f>
        <v>620</v>
      </c>
    </row>
    <row r="77" spans="1:7" ht="18.75" x14ac:dyDescent="0.3">
      <c r="A77" s="386" t="s">
        <v>378</v>
      </c>
      <c r="B77" s="386"/>
      <c r="C77" s="386"/>
      <c r="D77" s="386"/>
      <c r="E77" s="386"/>
    </row>
    <row r="78" spans="1:7" ht="45" x14ac:dyDescent="0.25">
      <c r="B78" s="384" t="s">
        <v>16</v>
      </c>
      <c r="C78" s="384" t="s">
        <v>18</v>
      </c>
      <c r="D78" s="384" t="s">
        <v>20</v>
      </c>
      <c r="E78" s="384" t="s">
        <v>24</v>
      </c>
      <c r="F78" s="384" t="s">
        <v>30</v>
      </c>
      <c r="G78" s="384" t="s">
        <v>3</v>
      </c>
    </row>
    <row r="79" spans="1:7" x14ac:dyDescent="0.25">
      <c r="A79" t="s">
        <v>373</v>
      </c>
      <c r="B79" s="10"/>
      <c r="C79" s="10"/>
      <c r="D79" s="10"/>
      <c r="E79" s="10"/>
    </row>
    <row r="80" spans="1:7" x14ac:dyDescent="0.25">
      <c r="A80" t="s">
        <v>349</v>
      </c>
      <c r="B80" s="10"/>
      <c r="C80" s="10"/>
      <c r="D80" s="10"/>
      <c r="E80" s="10"/>
    </row>
    <row r="81" spans="1:7" x14ac:dyDescent="0.25">
      <c r="A81" t="s">
        <v>324</v>
      </c>
      <c r="B81" s="10"/>
      <c r="C81" s="10"/>
      <c r="D81" s="10"/>
      <c r="E81" s="10"/>
    </row>
    <row r="82" spans="1:7" x14ac:dyDescent="0.25">
      <c r="A82" t="s">
        <v>339</v>
      </c>
      <c r="B82" s="10"/>
      <c r="C82" s="10"/>
      <c r="D82" s="10"/>
      <c r="E82" s="10"/>
    </row>
    <row r="83" spans="1:7" x14ac:dyDescent="0.25">
      <c r="A83" s="258" t="s">
        <v>227</v>
      </c>
      <c r="B83" s="10">
        <f>+E37/E1</f>
        <v>1500</v>
      </c>
      <c r="C83" s="10">
        <f>+E48</f>
        <v>3000</v>
      </c>
      <c r="D83" s="10">
        <f>+E46</f>
        <v>0</v>
      </c>
      <c r="E83" s="10">
        <f>+E31</f>
        <v>6400</v>
      </c>
      <c r="F83" s="35">
        <f>+E53</f>
        <v>1000</v>
      </c>
    </row>
    <row r="84" spans="1:7" x14ac:dyDescent="0.25">
      <c r="A84" s="258" t="s">
        <v>341</v>
      </c>
      <c r="B84" s="10">
        <f>+B83</f>
        <v>1500</v>
      </c>
      <c r="C84" s="10"/>
      <c r="D84" s="10"/>
      <c r="E84" s="10"/>
    </row>
    <row r="85" spans="1:7" x14ac:dyDescent="0.25">
      <c r="A85" t="s">
        <v>362</v>
      </c>
      <c r="B85" s="10"/>
      <c r="C85" s="10"/>
      <c r="D85" s="10"/>
      <c r="E85" s="10"/>
    </row>
    <row r="86" spans="1:7" x14ac:dyDescent="0.25">
      <c r="A86" t="s">
        <v>344</v>
      </c>
      <c r="B86" s="10"/>
      <c r="C86" s="10"/>
      <c r="D86" s="10"/>
      <c r="E86" s="10"/>
    </row>
    <row r="87" spans="1:7" x14ac:dyDescent="0.25">
      <c r="A87" t="s">
        <v>346</v>
      </c>
      <c r="B87" s="10"/>
      <c r="C87" s="10"/>
      <c r="D87" s="10"/>
      <c r="E87" s="10"/>
    </row>
    <row r="88" spans="1:7" x14ac:dyDescent="0.25">
      <c r="A88" t="s">
        <v>374</v>
      </c>
      <c r="B88" s="10"/>
      <c r="C88" s="10"/>
      <c r="D88" s="10"/>
      <c r="E88" s="10"/>
    </row>
    <row r="89" spans="1:7" x14ac:dyDescent="0.25">
      <c r="A89" t="s">
        <v>296</v>
      </c>
      <c r="B89" s="10"/>
      <c r="C89" s="10"/>
      <c r="D89" s="10"/>
      <c r="E89" s="10"/>
    </row>
    <row r="90" spans="1:7" x14ac:dyDescent="0.25">
      <c r="A90" t="s">
        <v>348</v>
      </c>
      <c r="B90" s="10"/>
      <c r="C90" s="10"/>
      <c r="D90" s="10"/>
      <c r="E90" s="10"/>
    </row>
    <row r="92" spans="1:7" x14ac:dyDescent="0.25">
      <c r="B92" s="7">
        <f>SUM(B79:B91)</f>
        <v>3000</v>
      </c>
      <c r="C92" s="7">
        <f t="shared" ref="C92:F92" si="1">SUM(C79:C91)</f>
        <v>3000</v>
      </c>
      <c r="D92" s="7">
        <f t="shared" si="1"/>
        <v>0</v>
      </c>
      <c r="E92" s="7">
        <f t="shared" si="1"/>
        <v>6400</v>
      </c>
      <c r="F92" s="7">
        <f t="shared" si="1"/>
        <v>1000</v>
      </c>
      <c r="G92" s="7">
        <f>+SUM(B92:F92)</f>
        <v>13400</v>
      </c>
    </row>
    <row r="93" spans="1:7" x14ac:dyDescent="0.25">
      <c r="A93" t="s">
        <v>379</v>
      </c>
      <c r="B93" s="35"/>
      <c r="C93" s="7"/>
      <c r="D93" s="7"/>
      <c r="E93" s="35"/>
      <c r="F93" s="35"/>
      <c r="G93" s="35">
        <f>+G92-E55</f>
        <v>0</v>
      </c>
    </row>
  </sheetData>
  <mergeCells count="8">
    <mergeCell ref="A77:E77"/>
    <mergeCell ref="A2:A3"/>
    <mergeCell ref="C5:E5"/>
    <mergeCell ref="C6:D6"/>
    <mergeCell ref="C7:D7"/>
    <mergeCell ref="C8:D8"/>
    <mergeCell ref="A13:E13"/>
    <mergeCell ref="A28:E28"/>
  </mergeCells>
  <pageMargins left="0.7" right="0.7" top="0.75" bottom="0.2" header="0.3" footer="0.3"/>
  <pageSetup scale="94" orientation="portrait" verticalDpi="12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8DF6C-E4A8-43BE-B4FF-DA5F37D58F8F}">
  <sheetPr>
    <tabColor rgb="FFCDC5E5"/>
  </sheetPr>
  <dimension ref="A1:I93"/>
  <sheetViews>
    <sheetView showGridLines="0" zoomScale="130" zoomScaleNormal="130" workbookViewId="0"/>
  </sheetViews>
  <sheetFormatPr defaultColWidth="8.85546875" defaultRowHeight="15" x14ac:dyDescent="0.25"/>
  <cols>
    <col min="1" max="1" width="35" customWidth="1"/>
    <col min="2" max="2" width="15.28515625" bestFit="1" customWidth="1"/>
    <col min="4" max="4" width="15.42578125" bestFit="1" customWidth="1"/>
    <col min="5" max="5" width="11.42578125" bestFit="1" customWidth="1"/>
  </cols>
  <sheetData>
    <row r="1" spans="1:9" ht="28.5" x14ac:dyDescent="0.45">
      <c r="A1" s="286" t="s">
        <v>230</v>
      </c>
      <c r="B1" s="16"/>
      <c r="C1" s="16"/>
      <c r="D1" s="383" t="s">
        <v>223</v>
      </c>
      <c r="E1" s="300">
        <v>1</v>
      </c>
    </row>
    <row r="2" spans="1:9" x14ac:dyDescent="0.25">
      <c r="A2" s="276" t="s">
        <v>335</v>
      </c>
      <c r="B2" s="16"/>
      <c r="C2" s="274"/>
      <c r="D2" s="1" t="s">
        <v>325</v>
      </c>
      <c r="E2" s="1" t="s">
        <v>323</v>
      </c>
    </row>
    <row r="3" spans="1:9" ht="15" customHeight="1" x14ac:dyDescent="0.25">
      <c r="A3" s="276"/>
      <c r="B3" s="16"/>
      <c r="C3" s="16"/>
      <c r="D3" s="275" t="s">
        <v>339</v>
      </c>
      <c r="E3" s="275" t="s">
        <v>339</v>
      </c>
    </row>
    <row r="4" spans="1:9" ht="15" customHeight="1" x14ac:dyDescent="0.25"/>
    <row r="5" spans="1:9" ht="15.75" thickBot="1" x14ac:dyDescent="0.3">
      <c r="C5" s="281" t="s">
        <v>336</v>
      </c>
      <c r="D5" s="281"/>
      <c r="E5" s="281"/>
    </row>
    <row r="6" spans="1:9" ht="15.75" thickBot="1" x14ac:dyDescent="0.3">
      <c r="C6" s="284" t="s">
        <v>332</v>
      </c>
      <c r="D6" s="284"/>
      <c r="E6" s="288">
        <f>+E60</f>
        <v>25</v>
      </c>
    </row>
    <row r="7" spans="1:9" ht="15.75" thickBot="1" x14ac:dyDescent="0.3">
      <c r="C7" s="284" t="s">
        <v>331</v>
      </c>
      <c r="D7" s="284"/>
      <c r="E7" s="289">
        <f>+E60/E26</f>
        <v>5.8452186111760578E-3</v>
      </c>
    </row>
    <row r="8" spans="1:9" ht="15.75" thickBot="1" x14ac:dyDescent="0.3">
      <c r="C8" s="284" t="s">
        <v>334</v>
      </c>
      <c r="D8" s="284"/>
      <c r="E8" s="288">
        <f>+E26/B21</f>
        <v>75.035087719298247</v>
      </c>
    </row>
    <row r="9" spans="1:9" s="5" customFormat="1" ht="15" customHeight="1" thickBot="1" x14ac:dyDescent="0.3">
      <c r="A9"/>
      <c r="B9"/>
      <c r="C9" s="287" t="s">
        <v>333</v>
      </c>
      <c r="D9" s="287"/>
      <c r="E9" s="288">
        <f>+E58/B21</f>
        <v>74.596491228070178</v>
      </c>
      <c r="I9"/>
    </row>
    <row r="10" spans="1:9" s="5" customFormat="1" ht="15" customHeight="1" thickBot="1" x14ac:dyDescent="0.3">
      <c r="A10"/>
      <c r="B10"/>
      <c r="C10" s="287" t="s">
        <v>337</v>
      </c>
      <c r="D10" s="287"/>
      <c r="E10" s="285">
        <f>+B21</f>
        <v>57</v>
      </c>
      <c r="I10"/>
    </row>
    <row r="11" spans="1:9" s="5" customFormat="1" ht="15.75" thickBot="1" x14ac:dyDescent="0.3">
      <c r="A11"/>
      <c r="B11"/>
      <c r="C11" s="287" t="s">
        <v>338</v>
      </c>
      <c r="D11" s="287"/>
      <c r="E11" s="288">
        <f>+E60/B21</f>
        <v>0.43859649122807015</v>
      </c>
      <c r="I11"/>
    </row>
    <row r="12" spans="1:9" s="5" customFormat="1" x14ac:dyDescent="0.25">
      <c r="A12"/>
      <c r="B12"/>
      <c r="C12"/>
      <c r="D12"/>
      <c r="E12"/>
      <c r="I12"/>
    </row>
    <row r="13" spans="1:9" x14ac:dyDescent="0.25">
      <c r="A13" s="259" t="s">
        <v>202</v>
      </c>
      <c r="B13" s="259"/>
      <c r="C13" s="259"/>
      <c r="D13" s="259"/>
      <c r="E13" s="259"/>
    </row>
    <row r="14" spans="1:9" x14ac:dyDescent="0.25">
      <c r="A14" s="278" t="s">
        <v>329</v>
      </c>
      <c r="B14" s="279" t="s">
        <v>239</v>
      </c>
      <c r="C14" s="279" t="s">
        <v>240</v>
      </c>
      <c r="D14" s="279"/>
      <c r="E14" s="279" t="s">
        <v>240</v>
      </c>
    </row>
    <row r="15" spans="1:9" x14ac:dyDescent="0.25">
      <c r="A15" s="277" t="s">
        <v>271</v>
      </c>
      <c r="B15" s="37">
        <v>25</v>
      </c>
      <c r="C15" s="10">
        <v>75.88</v>
      </c>
      <c r="E15" s="3">
        <f t="shared" ref="E15:E18" si="0">C15*B15</f>
        <v>1897</v>
      </c>
    </row>
    <row r="16" spans="1:9" x14ac:dyDescent="0.25">
      <c r="A16" s="265" t="s">
        <v>272</v>
      </c>
      <c r="B16" s="37">
        <v>12</v>
      </c>
      <c r="C16" s="10">
        <v>65</v>
      </c>
      <c r="E16" s="3">
        <f t="shared" si="0"/>
        <v>780</v>
      </c>
    </row>
    <row r="17" spans="1:5" x14ac:dyDescent="0.25">
      <c r="A17" s="265" t="s">
        <v>273</v>
      </c>
      <c r="B17" s="37">
        <v>20</v>
      </c>
      <c r="C17" s="10">
        <v>80</v>
      </c>
      <c r="E17" s="3">
        <f t="shared" si="0"/>
        <v>1600</v>
      </c>
    </row>
    <row r="18" spans="1:5" x14ac:dyDescent="0.25">
      <c r="A18" s="265"/>
      <c r="B18" s="37"/>
      <c r="C18" s="10"/>
      <c r="E18" s="3">
        <f t="shared" si="0"/>
        <v>0</v>
      </c>
    </row>
    <row r="19" spans="1:5" x14ac:dyDescent="0.25">
      <c r="A19" s="265"/>
      <c r="B19" s="37"/>
      <c r="C19" s="10"/>
      <c r="E19" s="3"/>
    </row>
    <row r="20" spans="1:5" s="3" customFormat="1" ht="6" customHeight="1" x14ac:dyDescent="0.25"/>
    <row r="21" spans="1:5" x14ac:dyDescent="0.25">
      <c r="A21" s="267" t="s">
        <v>330</v>
      </c>
      <c r="B21" s="174">
        <f>+SUM(B15:B20)</f>
        <v>57</v>
      </c>
      <c r="D21" s="268" t="s">
        <v>321</v>
      </c>
      <c r="E21" s="280">
        <f>SUBTOTAL(9,E15:E20)</f>
        <v>4277</v>
      </c>
    </row>
    <row r="22" spans="1:5" x14ac:dyDescent="0.25">
      <c r="A22" s="267"/>
      <c r="B22" s="290"/>
      <c r="D22" s="268"/>
      <c r="E22" s="13"/>
    </row>
    <row r="23" spans="1:5" x14ac:dyDescent="0.25">
      <c r="A23" s="265"/>
      <c r="B23" s="37"/>
      <c r="C23" s="10"/>
      <c r="E23" s="3"/>
    </row>
    <row r="24" spans="1:5" x14ac:dyDescent="0.25">
      <c r="A24" s="265"/>
      <c r="B24" s="37"/>
      <c r="C24" s="10"/>
      <c r="E24" s="3"/>
    </row>
    <row r="25" spans="1:5" ht="15.75" thickBot="1" x14ac:dyDescent="0.3">
      <c r="B25" s="2"/>
      <c r="C25" s="3"/>
      <c r="E25" s="3"/>
    </row>
    <row r="26" spans="1:5" ht="15.75" thickBot="1" x14ac:dyDescent="0.3">
      <c r="A26" s="260" t="s">
        <v>321</v>
      </c>
      <c r="B26" s="261"/>
      <c r="C26" s="262"/>
      <c r="D26" s="263"/>
      <c r="E26" s="264">
        <f>SUBTOTAL(9,E15:E25)</f>
        <v>4277</v>
      </c>
    </row>
    <row r="27" spans="1:5" s="5" customFormat="1" x14ac:dyDescent="0.25">
      <c r="A27"/>
      <c r="B27"/>
      <c r="C27"/>
      <c r="D27"/>
      <c r="E27"/>
    </row>
    <row r="28" spans="1:5" x14ac:dyDescent="0.25">
      <c r="A28" s="270" t="s">
        <v>224</v>
      </c>
      <c r="B28" s="270"/>
      <c r="C28" s="270"/>
      <c r="D28" s="270"/>
      <c r="E28" s="270"/>
    </row>
    <row r="30" spans="1:5" ht="15.75" x14ac:dyDescent="0.25">
      <c r="A30" s="271" t="s">
        <v>243</v>
      </c>
      <c r="B30" s="272"/>
      <c r="C30" s="272"/>
      <c r="D30" s="272" t="s">
        <v>244</v>
      </c>
      <c r="E30" s="272" t="s">
        <v>245</v>
      </c>
    </row>
    <row r="31" spans="1:5" x14ac:dyDescent="0.25">
      <c r="A31" t="s">
        <v>24</v>
      </c>
      <c r="C31" s="265"/>
      <c r="D31" s="38">
        <v>10</v>
      </c>
      <c r="E31" s="295">
        <f>D31*B21</f>
        <v>570</v>
      </c>
    </row>
    <row r="32" spans="1:5" x14ac:dyDescent="0.25">
      <c r="C32" s="265"/>
      <c r="D32" s="38"/>
      <c r="E32" s="10"/>
    </row>
    <row r="33" spans="1:5" x14ac:dyDescent="0.25">
      <c r="C33" s="265"/>
      <c r="D33" s="38"/>
      <c r="E33" s="10"/>
    </row>
    <row r="34" spans="1:5" x14ac:dyDescent="0.25">
      <c r="C34" s="268"/>
      <c r="D34" s="268" t="s">
        <v>251</v>
      </c>
      <c r="E34" s="296">
        <f>SUBTOTAL(9,E30:E33)</f>
        <v>570</v>
      </c>
    </row>
    <row r="36" spans="1:5" ht="15.75" x14ac:dyDescent="0.25">
      <c r="A36" s="271" t="s">
        <v>143</v>
      </c>
      <c r="B36" s="272" t="s">
        <v>246</v>
      </c>
      <c r="C36" s="272" t="s">
        <v>247</v>
      </c>
      <c r="D36" s="272" t="s">
        <v>248</v>
      </c>
      <c r="E36" s="272" t="s">
        <v>249</v>
      </c>
    </row>
    <row r="37" spans="1:5" x14ac:dyDescent="0.25">
      <c r="A37" t="s">
        <v>16</v>
      </c>
      <c r="B37" s="265">
        <v>0</v>
      </c>
      <c r="C37" s="265">
        <v>0</v>
      </c>
      <c r="D37" s="38">
        <v>0</v>
      </c>
      <c r="E37" s="297">
        <v>0</v>
      </c>
    </row>
    <row r="38" spans="1:5" x14ac:dyDescent="0.25">
      <c r="B38" s="265"/>
      <c r="C38" s="265"/>
      <c r="D38" s="38"/>
      <c r="E38" s="266"/>
    </row>
    <row r="39" spans="1:5" x14ac:dyDescent="0.25">
      <c r="B39" s="265"/>
      <c r="C39" s="265"/>
      <c r="D39" s="38"/>
      <c r="E39" s="266"/>
    </row>
    <row r="40" spans="1:5" x14ac:dyDescent="0.25">
      <c r="B40" s="265"/>
      <c r="C40" s="268"/>
      <c r="D40" s="5" t="s">
        <v>320</v>
      </c>
      <c r="E40" s="296">
        <f>SUBTOTAL(9,E37:E39)</f>
        <v>0</v>
      </c>
    </row>
    <row r="42" spans="1:5" ht="15.75" x14ac:dyDescent="0.25">
      <c r="A42" s="271" t="s">
        <v>252</v>
      </c>
      <c r="B42" s="272" t="s">
        <v>253</v>
      </c>
      <c r="C42" s="272"/>
      <c r="D42" s="272" t="s">
        <v>254</v>
      </c>
      <c r="E42" s="272" t="s">
        <v>245</v>
      </c>
    </row>
    <row r="43" spans="1:5" x14ac:dyDescent="0.25">
      <c r="A43" t="s">
        <v>18</v>
      </c>
      <c r="B43" s="265">
        <v>1</v>
      </c>
      <c r="C43" s="265"/>
      <c r="D43" s="10">
        <v>3372</v>
      </c>
      <c r="E43" s="291">
        <f>D43*B43</f>
        <v>3372</v>
      </c>
    </row>
    <row r="44" spans="1:5" x14ac:dyDescent="0.25">
      <c r="A44" t="s">
        <v>20</v>
      </c>
      <c r="B44" s="265">
        <v>0</v>
      </c>
      <c r="C44" s="265"/>
      <c r="D44" s="10">
        <v>113</v>
      </c>
      <c r="E44" s="3">
        <f>D44*B44</f>
        <v>0</v>
      </c>
    </row>
    <row r="45" spans="1:5" x14ac:dyDescent="0.25">
      <c r="B45" s="265"/>
      <c r="C45" s="265"/>
      <c r="D45" s="10"/>
      <c r="E45" s="3"/>
    </row>
    <row r="46" spans="1:5" x14ac:dyDescent="0.25">
      <c r="B46" s="265"/>
      <c r="C46" s="265"/>
      <c r="D46" s="10"/>
      <c r="E46" s="3"/>
    </row>
    <row r="47" spans="1:5" x14ac:dyDescent="0.25">
      <c r="E47" s="3"/>
    </row>
    <row r="48" spans="1:5" x14ac:dyDescent="0.25">
      <c r="D48" s="5" t="s">
        <v>320</v>
      </c>
      <c r="E48" s="296">
        <f>SUBTOTAL(9,E43:E47)</f>
        <v>3372</v>
      </c>
    </row>
    <row r="49" spans="1:5" ht="15.75" x14ac:dyDescent="0.25">
      <c r="A49" s="271" t="s">
        <v>258</v>
      </c>
      <c r="B49" s="273"/>
      <c r="C49" s="273"/>
      <c r="D49" s="273"/>
      <c r="E49" s="273"/>
    </row>
    <row r="50" spans="1:5" x14ac:dyDescent="0.25">
      <c r="A50" t="s">
        <v>276</v>
      </c>
      <c r="D50" s="10"/>
      <c r="E50" s="295">
        <v>60</v>
      </c>
    </row>
    <row r="51" spans="1:5" x14ac:dyDescent="0.25">
      <c r="A51" t="s">
        <v>277</v>
      </c>
      <c r="D51" s="10"/>
      <c r="E51" s="295">
        <v>75</v>
      </c>
    </row>
    <row r="52" spans="1:5" x14ac:dyDescent="0.25">
      <c r="A52" t="s">
        <v>278</v>
      </c>
      <c r="D52" s="10"/>
      <c r="E52" s="295">
        <v>50</v>
      </c>
    </row>
    <row r="53" spans="1:5" x14ac:dyDescent="0.25">
      <c r="A53" t="s">
        <v>279</v>
      </c>
      <c r="D53" s="10"/>
      <c r="E53" s="295">
        <v>75</v>
      </c>
    </row>
    <row r="54" spans="1:5" x14ac:dyDescent="0.25">
      <c r="A54" t="s">
        <v>280</v>
      </c>
      <c r="D54" s="10"/>
      <c r="E54" s="295">
        <v>50</v>
      </c>
    </row>
    <row r="55" spans="1:5" x14ac:dyDescent="0.25">
      <c r="D55" s="10"/>
      <c r="E55" s="10"/>
    </row>
    <row r="56" spans="1:5" x14ac:dyDescent="0.25">
      <c r="D56" s="5" t="s">
        <v>320</v>
      </c>
      <c r="E56" s="296">
        <f>SUBTOTAL(9,E50:E55)</f>
        <v>310</v>
      </c>
    </row>
    <row r="57" spans="1:5" x14ac:dyDescent="0.25">
      <c r="E57" s="3"/>
    </row>
    <row r="58" spans="1:5" ht="15.75" x14ac:dyDescent="0.25">
      <c r="A58" s="269" t="s">
        <v>326</v>
      </c>
      <c r="B58" s="269"/>
      <c r="C58" s="269"/>
      <c r="D58" s="269"/>
      <c r="E58" s="298">
        <f>SUBTOTAL(9,E31:E57)</f>
        <v>4252</v>
      </c>
    </row>
    <row r="60" spans="1:5" x14ac:dyDescent="0.25">
      <c r="A60" s="274" t="s">
        <v>322</v>
      </c>
      <c r="B60" s="274"/>
      <c r="C60" s="274"/>
      <c r="D60" s="274"/>
      <c r="E60" s="299">
        <f>+E26-E58</f>
        <v>25</v>
      </c>
    </row>
    <row r="77" spans="1:7" ht="18.75" x14ac:dyDescent="0.3">
      <c r="A77" s="386" t="s">
        <v>378</v>
      </c>
      <c r="B77" s="386"/>
      <c r="C77" s="386"/>
      <c r="D77" s="386"/>
      <c r="E77" s="386"/>
    </row>
    <row r="78" spans="1:7" ht="45" x14ac:dyDescent="0.25">
      <c r="B78" s="384" t="s">
        <v>16</v>
      </c>
      <c r="C78" s="384" t="s">
        <v>18</v>
      </c>
      <c r="D78" s="384" t="s">
        <v>20</v>
      </c>
      <c r="E78" s="384" t="s">
        <v>24</v>
      </c>
      <c r="F78" s="384" t="s">
        <v>30</v>
      </c>
      <c r="G78" s="384" t="s">
        <v>3</v>
      </c>
    </row>
    <row r="79" spans="1:7" x14ac:dyDescent="0.25">
      <c r="A79" t="s">
        <v>373</v>
      </c>
      <c r="B79" s="10"/>
      <c r="C79" s="10"/>
      <c r="D79" s="10"/>
      <c r="E79" s="10"/>
    </row>
    <row r="80" spans="1:7" x14ac:dyDescent="0.25">
      <c r="A80" t="s">
        <v>349</v>
      </c>
      <c r="B80" s="10"/>
      <c r="C80" s="10"/>
      <c r="D80" s="10"/>
      <c r="E80" s="10"/>
    </row>
    <row r="81" spans="1:7" x14ac:dyDescent="0.25">
      <c r="A81" t="s">
        <v>324</v>
      </c>
      <c r="B81" s="10"/>
      <c r="C81" s="10"/>
      <c r="D81" s="10"/>
      <c r="E81" s="10"/>
    </row>
    <row r="82" spans="1:7" x14ac:dyDescent="0.25">
      <c r="A82" s="258" t="s">
        <v>339</v>
      </c>
      <c r="B82" s="10">
        <f>+E40</f>
        <v>0</v>
      </c>
      <c r="C82" s="10">
        <f>+E43</f>
        <v>3372</v>
      </c>
      <c r="D82" s="10">
        <f>+E44</f>
        <v>0</v>
      </c>
      <c r="E82" s="10">
        <f>+E31</f>
        <v>570</v>
      </c>
      <c r="F82" s="35">
        <f>+E56</f>
        <v>310</v>
      </c>
    </row>
    <row r="83" spans="1:7" x14ac:dyDescent="0.25">
      <c r="A83" t="s">
        <v>227</v>
      </c>
      <c r="B83" s="10"/>
      <c r="C83" s="10"/>
      <c r="D83" s="10"/>
      <c r="E83" s="10"/>
    </row>
    <row r="84" spans="1:7" x14ac:dyDescent="0.25">
      <c r="A84" t="s">
        <v>341</v>
      </c>
      <c r="B84" s="10"/>
      <c r="C84" s="10"/>
      <c r="D84" s="10"/>
      <c r="E84" s="10"/>
    </row>
    <row r="85" spans="1:7" x14ac:dyDescent="0.25">
      <c r="A85" t="s">
        <v>362</v>
      </c>
      <c r="B85" s="10"/>
      <c r="C85" s="10"/>
      <c r="D85" s="10"/>
      <c r="E85" s="10"/>
    </row>
    <row r="86" spans="1:7" x14ac:dyDescent="0.25">
      <c r="A86" t="s">
        <v>344</v>
      </c>
      <c r="B86" s="10"/>
      <c r="C86" s="10"/>
      <c r="D86" s="10"/>
      <c r="E86" s="10"/>
    </row>
    <row r="87" spans="1:7" x14ac:dyDescent="0.25">
      <c r="A87" t="s">
        <v>346</v>
      </c>
      <c r="B87" s="10"/>
      <c r="C87" s="10"/>
      <c r="D87" s="10"/>
      <c r="E87" s="10"/>
    </row>
    <row r="88" spans="1:7" x14ac:dyDescent="0.25">
      <c r="A88" t="s">
        <v>374</v>
      </c>
      <c r="B88" s="10"/>
      <c r="C88" s="10"/>
      <c r="D88" s="10"/>
      <c r="E88" s="10"/>
    </row>
    <row r="89" spans="1:7" x14ac:dyDescent="0.25">
      <c r="A89" t="s">
        <v>296</v>
      </c>
      <c r="B89" s="10"/>
      <c r="C89" s="10"/>
      <c r="D89" s="10"/>
      <c r="E89" s="10"/>
    </row>
    <row r="90" spans="1:7" x14ac:dyDescent="0.25">
      <c r="A90" t="s">
        <v>348</v>
      </c>
      <c r="B90" s="10"/>
      <c r="C90" s="10"/>
      <c r="D90" s="10"/>
      <c r="E90" s="10"/>
    </row>
    <row r="92" spans="1:7" x14ac:dyDescent="0.25">
      <c r="B92" s="7">
        <f>SUM(B79:B91)</f>
        <v>0</v>
      </c>
      <c r="C92" s="7">
        <f t="shared" ref="C92:F92" si="1">SUM(C79:C91)</f>
        <v>3372</v>
      </c>
      <c r="D92" s="7">
        <f t="shared" si="1"/>
        <v>0</v>
      </c>
      <c r="E92" s="7">
        <f t="shared" si="1"/>
        <v>570</v>
      </c>
      <c r="F92" s="7">
        <f t="shared" si="1"/>
        <v>310</v>
      </c>
      <c r="G92" s="7">
        <f>+SUM(B92:F92)</f>
        <v>4252</v>
      </c>
    </row>
    <row r="93" spans="1:7" x14ac:dyDescent="0.25">
      <c r="A93" t="s">
        <v>379</v>
      </c>
      <c r="B93" s="35"/>
      <c r="C93" s="7"/>
      <c r="D93" s="7"/>
      <c r="E93" s="35"/>
      <c r="F93" s="35"/>
      <c r="G93" s="35">
        <f>+G92-E58</f>
        <v>0</v>
      </c>
    </row>
  </sheetData>
  <mergeCells count="8">
    <mergeCell ref="A77:E77"/>
    <mergeCell ref="A2:A3"/>
    <mergeCell ref="C5:E5"/>
    <mergeCell ref="C6:D6"/>
    <mergeCell ref="C7:D7"/>
    <mergeCell ref="C8:D8"/>
    <mergeCell ref="A13:E13"/>
    <mergeCell ref="A28:E28"/>
  </mergeCells>
  <pageMargins left="0.7" right="0.7" top="0.75" bottom="0.2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50428-B64E-48CE-A0CC-FC38E36D3AB8}">
  <sheetPr>
    <tabColor rgb="FFCDC5E5"/>
  </sheetPr>
  <dimension ref="A1:I93"/>
  <sheetViews>
    <sheetView showGridLines="0" topLeftCell="A27" zoomScale="115" zoomScaleNormal="115" workbookViewId="0">
      <selection activeCell="H70" sqref="H70"/>
    </sheetView>
  </sheetViews>
  <sheetFormatPr defaultColWidth="8.85546875" defaultRowHeight="15" x14ac:dyDescent="0.25"/>
  <cols>
    <col min="1" max="1" width="35" customWidth="1"/>
    <col min="2" max="2" width="15.28515625" bestFit="1" customWidth="1"/>
    <col min="4" max="4" width="15.42578125" bestFit="1" customWidth="1"/>
    <col min="5" max="5" width="11.42578125" bestFit="1" customWidth="1"/>
    <col min="6" max="7" width="10.5703125" bestFit="1" customWidth="1"/>
  </cols>
  <sheetData>
    <row r="1" spans="1:9" ht="28.5" x14ac:dyDescent="0.45">
      <c r="A1" s="286" t="s">
        <v>343</v>
      </c>
      <c r="B1" s="16"/>
      <c r="C1" s="16"/>
      <c r="D1" s="383" t="s">
        <v>223</v>
      </c>
      <c r="E1" s="300">
        <v>4</v>
      </c>
    </row>
    <row r="2" spans="1:9" x14ac:dyDescent="0.25">
      <c r="A2" s="276" t="s">
        <v>335</v>
      </c>
      <c r="B2" s="16"/>
      <c r="C2" s="274"/>
      <c r="D2" s="1" t="s">
        <v>325</v>
      </c>
      <c r="E2" s="1" t="s">
        <v>323</v>
      </c>
    </row>
    <row r="3" spans="1:9" ht="15" customHeight="1" x14ac:dyDescent="0.25">
      <c r="A3" s="276"/>
      <c r="B3" s="16"/>
      <c r="C3" s="16"/>
      <c r="D3" s="275" t="s">
        <v>227</v>
      </c>
      <c r="E3" s="275" t="s">
        <v>344</v>
      </c>
    </row>
    <row r="4" spans="1:9" ht="15" customHeight="1" x14ac:dyDescent="0.25"/>
    <row r="5" spans="1:9" ht="15.75" thickBot="1" x14ac:dyDescent="0.3">
      <c r="C5" s="281" t="s">
        <v>336</v>
      </c>
      <c r="D5" s="281"/>
      <c r="E5" s="281"/>
    </row>
    <row r="6" spans="1:9" ht="15.75" thickBot="1" x14ac:dyDescent="0.3">
      <c r="C6" s="284" t="s">
        <v>332</v>
      </c>
      <c r="D6" s="284"/>
      <c r="E6" s="288">
        <f>+E58</f>
        <v>-512.57999999999993</v>
      </c>
    </row>
    <row r="7" spans="1:9" ht="15.75" thickBot="1" x14ac:dyDescent="0.3">
      <c r="C7" s="284" t="s">
        <v>331</v>
      </c>
      <c r="D7" s="284"/>
      <c r="E7" s="289">
        <f>+E58/E26</f>
        <v>-0.10874906119123692</v>
      </c>
    </row>
    <row r="8" spans="1:9" ht="15.75" thickBot="1" x14ac:dyDescent="0.3">
      <c r="C8" s="284" t="s">
        <v>334</v>
      </c>
      <c r="D8" s="284"/>
      <c r="E8" s="288">
        <f>+E26/B21</f>
        <v>157.114</v>
      </c>
    </row>
    <row r="9" spans="1:9" s="5" customFormat="1" ht="15" customHeight="1" thickBot="1" x14ac:dyDescent="0.3">
      <c r="A9"/>
      <c r="B9"/>
      <c r="C9" s="287" t="s">
        <v>333</v>
      </c>
      <c r="D9" s="287"/>
      <c r="E9" s="288">
        <f>+E56/B21</f>
        <v>174.2</v>
      </c>
      <c r="I9"/>
    </row>
    <row r="10" spans="1:9" s="5" customFormat="1" ht="15" customHeight="1" thickBot="1" x14ac:dyDescent="0.3">
      <c r="A10"/>
      <c r="B10"/>
      <c r="C10" s="287" t="s">
        <v>337</v>
      </c>
      <c r="D10" s="287"/>
      <c r="E10" s="285">
        <f>+B21</f>
        <v>30</v>
      </c>
      <c r="I10"/>
    </row>
    <row r="11" spans="1:9" s="5" customFormat="1" ht="15.75" thickBot="1" x14ac:dyDescent="0.3">
      <c r="A11"/>
      <c r="B11"/>
      <c r="C11" s="287" t="s">
        <v>338</v>
      </c>
      <c r="D11" s="287"/>
      <c r="E11" s="288">
        <f>+E58/B21</f>
        <v>-17.085999999999999</v>
      </c>
      <c r="I11"/>
    </row>
    <row r="12" spans="1:9" s="5" customFormat="1" x14ac:dyDescent="0.25">
      <c r="A12"/>
      <c r="B12"/>
      <c r="C12"/>
      <c r="D12"/>
      <c r="E12"/>
      <c r="I12"/>
    </row>
    <row r="13" spans="1:9" x14ac:dyDescent="0.25">
      <c r="A13" s="259" t="s">
        <v>202</v>
      </c>
      <c r="B13" s="259"/>
      <c r="C13" s="259"/>
      <c r="D13" s="259"/>
      <c r="E13" s="259"/>
    </row>
    <row r="14" spans="1:9" x14ac:dyDescent="0.25">
      <c r="A14" s="278" t="s">
        <v>329</v>
      </c>
      <c r="B14" s="279" t="s">
        <v>239</v>
      </c>
      <c r="C14" s="279" t="s">
        <v>240</v>
      </c>
      <c r="D14" s="279"/>
      <c r="E14" s="279" t="s">
        <v>240</v>
      </c>
    </row>
    <row r="15" spans="1:9" x14ac:dyDescent="0.25">
      <c r="A15" s="265" t="s">
        <v>345</v>
      </c>
      <c r="B15" s="37">
        <v>30</v>
      </c>
      <c r="C15" s="10">
        <v>157.114</v>
      </c>
      <c r="E15" s="3">
        <f t="shared" ref="E15" si="0">C15*B15</f>
        <v>4713.42</v>
      </c>
    </row>
    <row r="16" spans="1:9" x14ac:dyDescent="0.25">
      <c r="A16" s="265"/>
      <c r="B16" s="37"/>
      <c r="C16" s="10"/>
      <c r="E16" s="3"/>
    </row>
    <row r="17" spans="1:5" x14ac:dyDescent="0.25">
      <c r="A17" s="265"/>
      <c r="B17" s="37"/>
      <c r="C17" s="10"/>
      <c r="E17" s="3"/>
    </row>
    <row r="18" spans="1:5" x14ac:dyDescent="0.25">
      <c r="A18" s="265"/>
      <c r="B18" s="37"/>
      <c r="C18" s="10"/>
      <c r="E18" s="3"/>
    </row>
    <row r="19" spans="1:5" x14ac:dyDescent="0.25">
      <c r="A19" s="265"/>
      <c r="B19" s="37"/>
      <c r="C19" s="10"/>
      <c r="E19" s="3"/>
    </row>
    <row r="20" spans="1:5" s="3" customFormat="1" ht="6" customHeight="1" x14ac:dyDescent="0.25"/>
    <row r="21" spans="1:5" x14ac:dyDescent="0.25">
      <c r="A21" s="267" t="s">
        <v>330</v>
      </c>
      <c r="B21" s="174">
        <f>+SUM(B15:B20)</f>
        <v>30</v>
      </c>
      <c r="D21" s="268" t="s">
        <v>321</v>
      </c>
      <c r="E21" s="280">
        <f>SUBTOTAL(9,E15:E20)</f>
        <v>4713.42</v>
      </c>
    </row>
    <row r="22" spans="1:5" x14ac:dyDescent="0.25">
      <c r="A22" s="267"/>
      <c r="B22" s="290"/>
      <c r="D22" s="268"/>
      <c r="E22" s="13"/>
    </row>
    <row r="23" spans="1:5" x14ac:dyDescent="0.25">
      <c r="A23" s="265"/>
      <c r="B23" s="37"/>
      <c r="C23" s="10"/>
      <c r="E23" s="3"/>
    </row>
    <row r="24" spans="1:5" x14ac:dyDescent="0.25">
      <c r="A24" s="265"/>
      <c r="B24" s="37"/>
      <c r="C24" s="10"/>
      <c r="E24" s="3"/>
    </row>
    <row r="25" spans="1:5" ht="15.75" thickBot="1" x14ac:dyDescent="0.3">
      <c r="B25" s="2"/>
      <c r="C25" s="3"/>
      <c r="E25" s="3"/>
    </row>
    <row r="26" spans="1:5" ht="15.75" thickBot="1" x14ac:dyDescent="0.3">
      <c r="A26" s="260" t="s">
        <v>321</v>
      </c>
      <c r="B26" s="261"/>
      <c r="C26" s="262"/>
      <c r="D26" s="263"/>
      <c r="E26" s="264">
        <f>SUBTOTAL(9,E15:E25)</f>
        <v>4713.42</v>
      </c>
    </row>
    <row r="27" spans="1:5" s="5" customFormat="1" x14ac:dyDescent="0.25">
      <c r="A27"/>
      <c r="B27"/>
      <c r="C27"/>
      <c r="D27"/>
      <c r="E27"/>
    </row>
    <row r="28" spans="1:5" x14ac:dyDescent="0.25">
      <c r="A28" s="270" t="s">
        <v>224</v>
      </c>
      <c r="B28" s="270"/>
      <c r="C28" s="270"/>
      <c r="D28" s="270"/>
      <c r="E28" s="270"/>
    </row>
    <row r="30" spans="1:5" ht="15.75" x14ac:dyDescent="0.25">
      <c r="A30" s="271" t="s">
        <v>243</v>
      </c>
      <c r="B30" s="272"/>
      <c r="C30" s="272"/>
      <c r="D30" s="272" t="s">
        <v>244</v>
      </c>
      <c r="E30" s="272" t="s">
        <v>245</v>
      </c>
    </row>
    <row r="31" spans="1:5" x14ac:dyDescent="0.25">
      <c r="A31" t="s">
        <v>24</v>
      </c>
      <c r="C31" s="265"/>
      <c r="D31" s="38"/>
      <c r="E31" s="295"/>
    </row>
    <row r="32" spans="1:5" x14ac:dyDescent="0.25">
      <c r="C32" s="265"/>
      <c r="D32" s="38"/>
      <c r="E32" s="10"/>
    </row>
    <row r="33" spans="1:5" x14ac:dyDescent="0.25">
      <c r="C33" s="265"/>
      <c r="D33" s="38"/>
      <c r="E33" s="10"/>
    </row>
    <row r="34" spans="1:5" x14ac:dyDescent="0.25">
      <c r="C34" s="268"/>
      <c r="D34" s="268" t="s">
        <v>251</v>
      </c>
      <c r="E34" s="296">
        <f>SUBTOTAL(9,E30:E33)</f>
        <v>0</v>
      </c>
    </row>
    <row r="36" spans="1:5" ht="15.75" x14ac:dyDescent="0.25">
      <c r="A36" s="271" t="s">
        <v>143</v>
      </c>
      <c r="B36" s="272" t="s">
        <v>246</v>
      </c>
      <c r="C36" s="272" t="s">
        <v>247</v>
      </c>
      <c r="D36" s="272" t="s">
        <v>248</v>
      </c>
      <c r="E36" s="272" t="s">
        <v>249</v>
      </c>
    </row>
    <row r="37" spans="1:5" x14ac:dyDescent="0.25">
      <c r="A37" t="s">
        <v>16</v>
      </c>
      <c r="B37" s="265"/>
      <c r="C37" s="265"/>
      <c r="D37" s="38"/>
      <c r="E37" s="295"/>
    </row>
    <row r="38" spans="1:5" x14ac:dyDescent="0.25">
      <c r="B38" s="265"/>
      <c r="C38" s="265"/>
      <c r="D38" s="38"/>
      <c r="E38" s="295"/>
    </row>
    <row r="39" spans="1:5" x14ac:dyDescent="0.25">
      <c r="B39" s="265"/>
      <c r="C39" s="265"/>
      <c r="D39" s="38"/>
      <c r="E39" s="266"/>
    </row>
    <row r="40" spans="1:5" x14ac:dyDescent="0.25">
      <c r="B40" s="265"/>
      <c r="C40" s="268"/>
      <c r="D40" s="5" t="s">
        <v>320</v>
      </c>
      <c r="E40" s="296">
        <f>SUBTOTAL(9,E37:E39)</f>
        <v>0</v>
      </c>
    </row>
    <row r="42" spans="1:5" ht="15.75" x14ac:dyDescent="0.25">
      <c r="A42" s="271" t="s">
        <v>252</v>
      </c>
      <c r="B42" s="272" t="s">
        <v>253</v>
      </c>
      <c r="C42" s="272"/>
      <c r="D42" s="272" t="s">
        <v>254</v>
      </c>
      <c r="E42" s="272" t="s">
        <v>245</v>
      </c>
    </row>
    <row r="43" spans="1:5" x14ac:dyDescent="0.25">
      <c r="A43" t="s">
        <v>18</v>
      </c>
      <c r="B43" s="265"/>
      <c r="C43" s="265">
        <v>1</v>
      </c>
      <c r="D43" s="38">
        <v>600</v>
      </c>
      <c r="E43" s="295">
        <f>+D43*C43</f>
        <v>600</v>
      </c>
    </row>
    <row r="44" spans="1:5" x14ac:dyDescent="0.25">
      <c r="A44" t="s">
        <v>20</v>
      </c>
      <c r="B44" s="265"/>
      <c r="C44" s="265">
        <v>1</v>
      </c>
      <c r="D44" s="38">
        <v>500</v>
      </c>
      <c r="E44" s="295">
        <f>+D44*C44</f>
        <v>500</v>
      </c>
    </row>
    <row r="45" spans="1:5" x14ac:dyDescent="0.25">
      <c r="B45" s="265"/>
      <c r="C45" s="265"/>
      <c r="D45" s="10"/>
      <c r="E45" s="3"/>
    </row>
    <row r="46" spans="1:5" x14ac:dyDescent="0.25">
      <c r="B46" s="265"/>
      <c r="C46" s="265"/>
      <c r="D46" s="10"/>
      <c r="E46" s="3"/>
    </row>
    <row r="47" spans="1:5" x14ac:dyDescent="0.25">
      <c r="E47" s="3"/>
    </row>
    <row r="48" spans="1:5" x14ac:dyDescent="0.25">
      <c r="D48" s="5" t="s">
        <v>320</v>
      </c>
      <c r="E48" s="296">
        <f>SUBTOTAL(9,E43:E47)</f>
        <v>1100</v>
      </c>
    </row>
    <row r="49" spans="1:5" ht="15.75" x14ac:dyDescent="0.25">
      <c r="A49" s="271" t="s">
        <v>258</v>
      </c>
      <c r="B49" s="273"/>
      <c r="C49" s="273"/>
      <c r="D49" s="273"/>
      <c r="E49" s="273"/>
    </row>
    <row r="50" spans="1:5" x14ac:dyDescent="0.25">
      <c r="A50" t="s">
        <v>281</v>
      </c>
      <c r="D50" s="10"/>
      <c r="E50" s="295">
        <v>2126</v>
      </c>
    </row>
    <row r="51" spans="1:5" x14ac:dyDescent="0.25">
      <c r="A51" t="s">
        <v>282</v>
      </c>
      <c r="D51" s="10"/>
      <c r="E51" s="295">
        <v>1000</v>
      </c>
    </row>
    <row r="52" spans="1:5" x14ac:dyDescent="0.25">
      <c r="A52" t="s">
        <v>283</v>
      </c>
      <c r="D52" s="10"/>
      <c r="E52" s="295">
        <v>1000</v>
      </c>
    </row>
    <row r="53" spans="1:5" x14ac:dyDescent="0.25">
      <c r="D53" s="10"/>
      <c r="E53" s="10"/>
    </row>
    <row r="54" spans="1:5" x14ac:dyDescent="0.25">
      <c r="D54" s="5" t="s">
        <v>320</v>
      </c>
      <c r="E54" s="296">
        <f>SUBTOTAL(9,E50:E53)</f>
        <v>4126</v>
      </c>
    </row>
    <row r="55" spans="1:5" x14ac:dyDescent="0.25">
      <c r="E55" s="3"/>
    </row>
    <row r="56" spans="1:5" ht="15.75" x14ac:dyDescent="0.25">
      <c r="A56" s="269" t="s">
        <v>326</v>
      </c>
      <c r="B56" s="269"/>
      <c r="C56" s="269"/>
      <c r="D56" s="269"/>
      <c r="E56" s="298">
        <f>SUBTOTAL(9,E31:E55)</f>
        <v>5226</v>
      </c>
    </row>
    <row r="58" spans="1:5" x14ac:dyDescent="0.25">
      <c r="A58" s="274" t="s">
        <v>322</v>
      </c>
      <c r="B58" s="274"/>
      <c r="C58" s="274"/>
      <c r="D58" s="274"/>
      <c r="E58" s="299">
        <f>+E26-E56</f>
        <v>-512.57999999999993</v>
      </c>
    </row>
    <row r="77" spans="1:7" ht="18.75" x14ac:dyDescent="0.3">
      <c r="A77" s="386" t="s">
        <v>378</v>
      </c>
      <c r="B77" s="386"/>
      <c r="C77" s="386"/>
      <c r="D77" s="386"/>
      <c r="E77" s="386"/>
    </row>
    <row r="78" spans="1:7" ht="45" x14ac:dyDescent="0.25">
      <c r="B78" s="384" t="s">
        <v>16</v>
      </c>
      <c r="C78" s="384" t="s">
        <v>18</v>
      </c>
      <c r="D78" s="384" t="s">
        <v>20</v>
      </c>
      <c r="E78" s="384" t="s">
        <v>24</v>
      </c>
      <c r="F78" s="384" t="s">
        <v>30</v>
      </c>
      <c r="G78" s="384" t="s">
        <v>3</v>
      </c>
    </row>
    <row r="79" spans="1:7" x14ac:dyDescent="0.25">
      <c r="A79" t="s">
        <v>373</v>
      </c>
      <c r="B79" s="10"/>
      <c r="C79" s="10"/>
      <c r="D79" s="10"/>
      <c r="E79" s="10"/>
    </row>
    <row r="80" spans="1:7" x14ac:dyDescent="0.25">
      <c r="A80" t="s">
        <v>349</v>
      </c>
      <c r="B80" s="10"/>
      <c r="C80" s="10"/>
      <c r="D80" s="10"/>
      <c r="E80" s="10"/>
    </row>
    <row r="81" spans="1:7" x14ac:dyDescent="0.25">
      <c r="A81" t="s">
        <v>324</v>
      </c>
      <c r="B81" s="10"/>
      <c r="C81" s="10"/>
      <c r="D81" s="10"/>
      <c r="E81" s="10"/>
    </row>
    <row r="82" spans="1:7" x14ac:dyDescent="0.25">
      <c r="A82" t="s">
        <v>339</v>
      </c>
      <c r="B82" s="10"/>
      <c r="C82" s="10"/>
      <c r="D82" s="10"/>
      <c r="E82" s="10"/>
    </row>
    <row r="83" spans="1:7" x14ac:dyDescent="0.25">
      <c r="A83" s="258" t="s">
        <v>227</v>
      </c>
      <c r="B83" s="10">
        <f>+E40</f>
        <v>0</v>
      </c>
      <c r="C83" s="10">
        <f>+E43</f>
        <v>600</v>
      </c>
      <c r="D83" s="10">
        <f>+E44</f>
        <v>500</v>
      </c>
      <c r="E83" s="10">
        <f>+E31</f>
        <v>0</v>
      </c>
      <c r="F83" s="35">
        <f>+E54</f>
        <v>4126</v>
      </c>
    </row>
    <row r="84" spans="1:7" x14ac:dyDescent="0.25">
      <c r="A84" s="258" t="s">
        <v>341</v>
      </c>
      <c r="B84" s="10"/>
      <c r="C84" s="10"/>
      <c r="D84" s="10"/>
      <c r="E84" s="10"/>
    </row>
    <row r="85" spans="1:7" x14ac:dyDescent="0.25">
      <c r="A85" s="258" t="s">
        <v>362</v>
      </c>
      <c r="B85" s="10"/>
      <c r="C85" s="10"/>
      <c r="D85" s="10"/>
      <c r="E85" s="10"/>
    </row>
    <row r="86" spans="1:7" x14ac:dyDescent="0.25">
      <c r="A86" s="258" t="s">
        <v>344</v>
      </c>
      <c r="B86" s="10"/>
      <c r="C86" s="10"/>
      <c r="D86" s="10"/>
      <c r="E86" s="10"/>
    </row>
    <row r="87" spans="1:7" x14ac:dyDescent="0.25">
      <c r="A87" t="s">
        <v>346</v>
      </c>
      <c r="B87" s="10"/>
      <c r="C87" s="10"/>
      <c r="D87" s="10"/>
      <c r="E87" s="10"/>
    </row>
    <row r="88" spans="1:7" x14ac:dyDescent="0.25">
      <c r="A88" t="s">
        <v>374</v>
      </c>
      <c r="B88" s="10"/>
      <c r="C88" s="10"/>
      <c r="D88" s="10"/>
      <c r="E88" s="10"/>
    </row>
    <row r="89" spans="1:7" x14ac:dyDescent="0.25">
      <c r="A89" t="s">
        <v>296</v>
      </c>
      <c r="B89" s="10"/>
      <c r="C89" s="10"/>
      <c r="D89" s="10"/>
      <c r="E89" s="10"/>
    </row>
    <row r="90" spans="1:7" x14ac:dyDescent="0.25">
      <c r="A90" t="s">
        <v>348</v>
      </c>
      <c r="B90" s="10"/>
      <c r="C90" s="10"/>
      <c r="D90" s="10"/>
      <c r="E90" s="10"/>
    </row>
    <row r="92" spans="1:7" x14ac:dyDescent="0.25">
      <c r="B92" s="7">
        <f>SUM(B79:B91)</f>
        <v>0</v>
      </c>
      <c r="C92" s="7">
        <f t="shared" ref="C92:F92" si="1">SUM(C79:C91)</f>
        <v>600</v>
      </c>
      <c r="D92" s="7">
        <f t="shared" si="1"/>
        <v>500</v>
      </c>
      <c r="E92" s="7">
        <f t="shared" si="1"/>
        <v>0</v>
      </c>
      <c r="F92" s="7">
        <f t="shared" si="1"/>
        <v>4126</v>
      </c>
      <c r="G92" s="7">
        <f>+SUM(B92:F92)</f>
        <v>5226</v>
      </c>
    </row>
    <row r="93" spans="1:7" x14ac:dyDescent="0.25">
      <c r="A93" t="s">
        <v>379</v>
      </c>
      <c r="B93" s="35"/>
      <c r="C93" s="7"/>
      <c r="D93" s="7"/>
      <c r="E93" s="35"/>
      <c r="F93" s="35"/>
      <c r="G93" s="35">
        <f>+G92-E56</f>
        <v>0</v>
      </c>
    </row>
  </sheetData>
  <mergeCells count="8">
    <mergeCell ref="A77:E77"/>
    <mergeCell ref="A2:A3"/>
    <mergeCell ref="C5:E5"/>
    <mergeCell ref="C6:D6"/>
    <mergeCell ref="C7:D7"/>
    <mergeCell ref="C8:D8"/>
    <mergeCell ref="A13:E13"/>
    <mergeCell ref="A28:E28"/>
  </mergeCells>
  <pageMargins left="0.7" right="0.7" top="0.75" bottom="0.2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91F8D-913E-4E6B-ABDF-1DD30B7F7252}">
  <sheetPr>
    <tabColor rgb="FFCDC5E5"/>
  </sheetPr>
  <dimension ref="A1:I93"/>
  <sheetViews>
    <sheetView showGridLines="0" workbookViewId="0"/>
  </sheetViews>
  <sheetFormatPr defaultColWidth="8.85546875" defaultRowHeight="15" x14ac:dyDescent="0.25"/>
  <cols>
    <col min="1" max="1" width="35" customWidth="1"/>
    <col min="2" max="2" width="15.28515625" bestFit="1" customWidth="1"/>
    <col min="4" max="4" width="15.42578125" bestFit="1" customWidth="1"/>
    <col min="5" max="5" width="11.42578125" bestFit="1" customWidth="1"/>
  </cols>
  <sheetData>
    <row r="1" spans="1:9" ht="28.5" x14ac:dyDescent="0.45">
      <c r="A1" s="286" t="s">
        <v>231</v>
      </c>
      <c r="B1" s="16"/>
      <c r="C1" s="16"/>
      <c r="D1" s="383" t="s">
        <v>223</v>
      </c>
      <c r="E1" s="300">
        <v>2</v>
      </c>
    </row>
    <row r="2" spans="1:9" x14ac:dyDescent="0.25">
      <c r="A2" s="276" t="s">
        <v>335</v>
      </c>
      <c r="B2" s="16"/>
      <c r="C2" s="274"/>
      <c r="D2" s="1" t="s">
        <v>325</v>
      </c>
      <c r="E2" s="1" t="s">
        <v>323</v>
      </c>
    </row>
    <row r="3" spans="1:9" ht="15" customHeight="1" x14ac:dyDescent="0.25">
      <c r="A3" s="276"/>
      <c r="B3" s="16"/>
      <c r="C3" s="16"/>
      <c r="D3" s="275" t="s">
        <v>344</v>
      </c>
      <c r="E3" s="275" t="s">
        <v>346</v>
      </c>
    </row>
    <row r="4" spans="1:9" ht="15" customHeight="1" x14ac:dyDescent="0.25"/>
    <row r="5" spans="1:9" ht="15.75" thickBot="1" x14ac:dyDescent="0.3">
      <c r="C5" s="281" t="s">
        <v>336</v>
      </c>
      <c r="D5" s="281"/>
      <c r="E5" s="281"/>
    </row>
    <row r="6" spans="1:9" ht="15.75" thickBot="1" x14ac:dyDescent="0.3">
      <c r="C6" s="284" t="s">
        <v>332</v>
      </c>
      <c r="D6" s="284"/>
      <c r="E6" s="288">
        <f>+E57</f>
        <v>1279.5</v>
      </c>
    </row>
    <row r="7" spans="1:9" ht="15.75" thickBot="1" x14ac:dyDescent="0.3">
      <c r="C7" s="284" t="s">
        <v>331</v>
      </c>
      <c r="D7" s="284"/>
      <c r="E7" s="289">
        <f>+E57/E26</f>
        <v>0.35790209790209793</v>
      </c>
    </row>
    <row r="8" spans="1:9" ht="15.75" thickBot="1" x14ac:dyDescent="0.3">
      <c r="C8" s="284" t="s">
        <v>334</v>
      </c>
      <c r="D8" s="284"/>
      <c r="E8" s="288">
        <f>+E26/B21</f>
        <v>35.75</v>
      </c>
    </row>
    <row r="9" spans="1:9" s="5" customFormat="1" ht="15" customHeight="1" thickBot="1" x14ac:dyDescent="0.3">
      <c r="A9"/>
      <c r="B9"/>
      <c r="C9" s="287" t="s">
        <v>333</v>
      </c>
      <c r="D9" s="287"/>
      <c r="E9" s="288">
        <f>+E55/B21</f>
        <v>22.954999999999998</v>
      </c>
      <c r="I9"/>
    </row>
    <row r="10" spans="1:9" s="5" customFormat="1" ht="15" customHeight="1" thickBot="1" x14ac:dyDescent="0.3">
      <c r="A10"/>
      <c r="B10"/>
      <c r="C10" s="287" t="s">
        <v>337</v>
      </c>
      <c r="D10" s="287"/>
      <c r="E10" s="285">
        <f>+B21</f>
        <v>100</v>
      </c>
      <c r="I10"/>
    </row>
    <row r="11" spans="1:9" s="5" customFormat="1" ht="15.75" thickBot="1" x14ac:dyDescent="0.3">
      <c r="A11"/>
      <c r="B11"/>
      <c r="C11" s="287" t="s">
        <v>338</v>
      </c>
      <c r="D11" s="287"/>
      <c r="E11" s="288">
        <f>+E57/B21</f>
        <v>12.795</v>
      </c>
      <c r="I11"/>
    </row>
    <row r="12" spans="1:9" s="5" customFormat="1" x14ac:dyDescent="0.25">
      <c r="A12"/>
      <c r="B12"/>
      <c r="C12"/>
      <c r="D12"/>
      <c r="E12"/>
      <c r="I12"/>
    </row>
    <row r="13" spans="1:9" x14ac:dyDescent="0.25">
      <c r="A13" s="259" t="s">
        <v>202</v>
      </c>
      <c r="B13" s="259"/>
      <c r="C13" s="259"/>
      <c r="D13" s="259"/>
      <c r="E13" s="259"/>
    </row>
    <row r="14" spans="1:9" x14ac:dyDescent="0.25">
      <c r="A14" s="278" t="s">
        <v>329</v>
      </c>
      <c r="B14" s="279" t="s">
        <v>239</v>
      </c>
      <c r="C14" s="279" t="s">
        <v>240</v>
      </c>
      <c r="D14" s="279"/>
      <c r="E14" s="279" t="s">
        <v>240</v>
      </c>
    </row>
    <row r="15" spans="1:9" x14ac:dyDescent="0.25">
      <c r="A15" s="277" t="s">
        <v>284</v>
      </c>
      <c r="B15" s="37">
        <v>29</v>
      </c>
      <c r="C15" s="10">
        <v>35</v>
      </c>
      <c r="E15" s="3">
        <f t="shared" ref="E15:E18" si="0">C15*B15</f>
        <v>1015</v>
      </c>
    </row>
    <row r="16" spans="1:9" x14ac:dyDescent="0.25">
      <c r="A16" s="265" t="s">
        <v>285</v>
      </c>
      <c r="B16" s="37">
        <v>29</v>
      </c>
      <c r="C16" s="10">
        <v>35</v>
      </c>
      <c r="E16" s="3">
        <f t="shared" si="0"/>
        <v>1015</v>
      </c>
    </row>
    <row r="17" spans="1:5" x14ac:dyDescent="0.25">
      <c r="A17" s="265" t="s">
        <v>286</v>
      </c>
      <c r="B17" s="37">
        <v>27</v>
      </c>
      <c r="C17" s="10">
        <v>35</v>
      </c>
      <c r="E17" s="3">
        <f t="shared" si="0"/>
        <v>945</v>
      </c>
    </row>
    <row r="18" spans="1:5" x14ac:dyDescent="0.25">
      <c r="A18" s="265" t="s">
        <v>287</v>
      </c>
      <c r="B18" s="37">
        <v>15</v>
      </c>
      <c r="C18" s="10">
        <v>40</v>
      </c>
      <c r="E18" s="3">
        <f t="shared" si="0"/>
        <v>600</v>
      </c>
    </row>
    <row r="19" spans="1:5" x14ac:dyDescent="0.25">
      <c r="A19" s="265"/>
      <c r="B19" s="37"/>
      <c r="C19" s="10"/>
      <c r="E19" s="3"/>
    </row>
    <row r="20" spans="1:5" s="3" customFormat="1" ht="6" customHeight="1" x14ac:dyDescent="0.25"/>
    <row r="21" spans="1:5" x14ac:dyDescent="0.25">
      <c r="A21" s="267" t="s">
        <v>330</v>
      </c>
      <c r="B21" s="174">
        <f>+SUM(B15:B20)</f>
        <v>100</v>
      </c>
      <c r="D21" s="268" t="s">
        <v>321</v>
      </c>
      <c r="E21" s="280">
        <f>SUBTOTAL(9,E15:E20)</f>
        <v>3575</v>
      </c>
    </row>
    <row r="22" spans="1:5" x14ac:dyDescent="0.25">
      <c r="A22" s="267"/>
      <c r="B22" s="290"/>
      <c r="D22" s="268"/>
      <c r="E22" s="13"/>
    </row>
    <row r="23" spans="1:5" x14ac:dyDescent="0.25">
      <c r="A23" s="265"/>
      <c r="B23" s="37"/>
      <c r="C23" s="10"/>
      <c r="E23" s="3"/>
    </row>
    <row r="24" spans="1:5" x14ac:dyDescent="0.25">
      <c r="A24" s="265"/>
      <c r="B24" s="37"/>
      <c r="C24" s="10"/>
      <c r="E24" s="3"/>
    </row>
    <row r="25" spans="1:5" ht="15.75" thickBot="1" x14ac:dyDescent="0.3">
      <c r="B25" s="2"/>
      <c r="C25" s="3"/>
      <c r="E25" s="3"/>
    </row>
    <row r="26" spans="1:5" ht="15.75" thickBot="1" x14ac:dyDescent="0.3">
      <c r="A26" s="260" t="s">
        <v>321</v>
      </c>
      <c r="B26" s="261"/>
      <c r="C26" s="262"/>
      <c r="D26" s="263"/>
      <c r="E26" s="264">
        <f>SUBTOTAL(9,E15:E25)</f>
        <v>3575</v>
      </c>
    </row>
    <row r="27" spans="1:5" s="5" customFormat="1" x14ac:dyDescent="0.25">
      <c r="A27"/>
      <c r="B27"/>
      <c r="C27"/>
      <c r="D27"/>
      <c r="E27"/>
    </row>
    <row r="28" spans="1:5" x14ac:dyDescent="0.25">
      <c r="A28" s="270" t="s">
        <v>224</v>
      </c>
      <c r="B28" s="270"/>
      <c r="C28" s="270"/>
      <c r="D28" s="270"/>
      <c r="E28" s="270"/>
    </row>
    <row r="30" spans="1:5" ht="15.75" x14ac:dyDescent="0.25">
      <c r="A30" s="271" t="s">
        <v>243</v>
      </c>
      <c r="B30" s="272"/>
      <c r="C30" s="272"/>
      <c r="D30" s="272" t="s">
        <v>244</v>
      </c>
      <c r="E30" s="272" t="s">
        <v>245</v>
      </c>
    </row>
    <row r="31" spans="1:5" x14ac:dyDescent="0.25">
      <c r="A31" t="s">
        <v>24</v>
      </c>
      <c r="C31" s="265"/>
      <c r="D31" s="38">
        <v>7.22</v>
      </c>
      <c r="E31" s="295">
        <f>D31*B21</f>
        <v>722</v>
      </c>
    </row>
    <row r="32" spans="1:5" x14ac:dyDescent="0.25">
      <c r="C32" s="265"/>
      <c r="D32" s="38"/>
      <c r="E32" s="10"/>
    </row>
    <row r="33" spans="1:5" x14ac:dyDescent="0.25">
      <c r="C33" s="265"/>
      <c r="D33" s="38"/>
      <c r="E33" s="10"/>
    </row>
    <row r="34" spans="1:5" x14ac:dyDescent="0.25">
      <c r="C34" s="268"/>
      <c r="D34" s="268" t="s">
        <v>251</v>
      </c>
      <c r="E34" s="296">
        <f>SUBTOTAL(9,E30:E33)</f>
        <v>722</v>
      </c>
    </row>
    <row r="36" spans="1:5" ht="15.75" x14ac:dyDescent="0.25">
      <c r="A36" s="271" t="s">
        <v>143</v>
      </c>
      <c r="B36" s="272" t="s">
        <v>347</v>
      </c>
      <c r="C36" s="272" t="s">
        <v>247</v>
      </c>
      <c r="D36" s="272" t="s">
        <v>248</v>
      </c>
      <c r="E36" s="272" t="s">
        <v>249</v>
      </c>
    </row>
    <row r="37" spans="1:5" x14ac:dyDescent="0.25">
      <c r="A37" t="s">
        <v>275</v>
      </c>
      <c r="B37" s="265">
        <v>7.75</v>
      </c>
      <c r="C37" s="265">
        <v>1</v>
      </c>
      <c r="D37" s="38">
        <v>10</v>
      </c>
      <c r="E37" s="297">
        <f>B37*C37*D37</f>
        <v>77.5</v>
      </c>
    </row>
    <row r="38" spans="1:5" x14ac:dyDescent="0.25">
      <c r="A38" t="s">
        <v>250</v>
      </c>
      <c r="B38" s="265">
        <v>7.5</v>
      </c>
      <c r="C38" s="265">
        <v>1</v>
      </c>
      <c r="D38" s="38">
        <v>15</v>
      </c>
      <c r="E38" s="297">
        <f>B38*C38*D38</f>
        <v>112.5</v>
      </c>
    </row>
    <row r="39" spans="1:5" x14ac:dyDescent="0.25">
      <c r="B39" s="265"/>
      <c r="C39" s="265"/>
      <c r="D39" s="38"/>
      <c r="E39" s="266"/>
    </row>
    <row r="40" spans="1:5" x14ac:dyDescent="0.25">
      <c r="B40" s="265"/>
      <c r="C40" s="268"/>
      <c r="D40" s="5" t="s">
        <v>320</v>
      </c>
      <c r="E40" s="296">
        <f>SUBTOTAL(9,E37:E39)</f>
        <v>190</v>
      </c>
    </row>
    <row r="42" spans="1:5" ht="15.75" x14ac:dyDescent="0.25">
      <c r="A42" s="271" t="s">
        <v>252</v>
      </c>
      <c r="B42" s="272" t="s">
        <v>347</v>
      </c>
      <c r="C42" s="272"/>
      <c r="D42" s="272" t="s">
        <v>254</v>
      </c>
      <c r="E42" s="272" t="s">
        <v>245</v>
      </c>
    </row>
    <row r="43" spans="1:5" x14ac:dyDescent="0.25">
      <c r="A43" t="s">
        <v>18</v>
      </c>
      <c r="B43" s="265">
        <v>28.5</v>
      </c>
      <c r="C43" s="265"/>
      <c r="D43" s="10">
        <v>21</v>
      </c>
      <c r="E43" s="291">
        <f>D43*B43</f>
        <v>598.5</v>
      </c>
    </row>
    <row r="44" spans="1:5" x14ac:dyDescent="0.25">
      <c r="A44" t="s">
        <v>20</v>
      </c>
      <c r="B44" s="265">
        <v>18.25</v>
      </c>
      <c r="C44" s="265"/>
      <c r="D44" s="10">
        <v>20</v>
      </c>
      <c r="E44" s="291">
        <f>D44*B44</f>
        <v>365</v>
      </c>
    </row>
    <row r="45" spans="1:5" x14ac:dyDescent="0.25">
      <c r="B45" s="265"/>
      <c r="C45" s="265"/>
      <c r="D45" s="10"/>
      <c r="E45" s="3"/>
    </row>
    <row r="46" spans="1:5" x14ac:dyDescent="0.25">
      <c r="B46" s="265"/>
      <c r="C46" s="265"/>
      <c r="D46" s="10"/>
      <c r="E46" s="3"/>
    </row>
    <row r="47" spans="1:5" x14ac:dyDescent="0.25">
      <c r="E47" s="3"/>
    </row>
    <row r="48" spans="1:5" x14ac:dyDescent="0.25">
      <c r="D48" s="5" t="s">
        <v>320</v>
      </c>
      <c r="E48" s="296">
        <f>SUBTOTAL(9,E43:E47)</f>
        <v>963.5</v>
      </c>
    </row>
    <row r="49" spans="1:5" ht="15.75" x14ac:dyDescent="0.25">
      <c r="A49" s="271" t="s">
        <v>258</v>
      </c>
      <c r="B49" s="273"/>
      <c r="C49" s="273"/>
      <c r="D49" s="273"/>
      <c r="E49" s="273"/>
    </row>
    <row r="50" spans="1:5" x14ac:dyDescent="0.25">
      <c r="A50" t="s">
        <v>288</v>
      </c>
      <c r="D50" s="10"/>
      <c r="E50" s="295">
        <v>420</v>
      </c>
    </row>
    <row r="51" spans="1:5" x14ac:dyDescent="0.25">
      <c r="D51" s="10"/>
      <c r="E51" s="295"/>
    </row>
    <row r="52" spans="1:5" x14ac:dyDescent="0.25">
      <c r="D52" s="10"/>
      <c r="E52" s="10"/>
    </row>
    <row r="53" spans="1:5" x14ac:dyDescent="0.25">
      <c r="D53" s="5" t="s">
        <v>320</v>
      </c>
      <c r="E53" s="296">
        <f>SUBTOTAL(9,E50:E52)</f>
        <v>420</v>
      </c>
    </row>
    <row r="54" spans="1:5" x14ac:dyDescent="0.25">
      <c r="E54" s="3"/>
    </row>
    <row r="55" spans="1:5" ht="15.75" x14ac:dyDescent="0.25">
      <c r="A55" s="269" t="s">
        <v>326</v>
      </c>
      <c r="B55" s="269"/>
      <c r="C55" s="269"/>
      <c r="D55" s="269"/>
      <c r="E55" s="298">
        <f>SUBTOTAL(9,E31:E54)</f>
        <v>2295.5</v>
      </c>
    </row>
    <row r="57" spans="1:5" x14ac:dyDescent="0.25">
      <c r="A57" s="274" t="s">
        <v>322</v>
      </c>
      <c r="B57" s="274"/>
      <c r="C57" s="274"/>
      <c r="D57" s="274"/>
      <c r="E57" s="299">
        <f>+E26-E55</f>
        <v>1279.5</v>
      </c>
    </row>
    <row r="77" spans="1:7" ht="18.75" x14ac:dyDescent="0.3">
      <c r="A77" s="386" t="s">
        <v>378</v>
      </c>
      <c r="B77" s="386"/>
      <c r="C77" s="386"/>
      <c r="D77" s="386"/>
      <c r="E77" s="386"/>
    </row>
    <row r="78" spans="1:7" ht="45" x14ac:dyDescent="0.25">
      <c r="B78" s="384" t="s">
        <v>16</v>
      </c>
      <c r="C78" s="384" t="s">
        <v>18</v>
      </c>
      <c r="D78" s="384" t="s">
        <v>20</v>
      </c>
      <c r="E78" s="384" t="s">
        <v>24</v>
      </c>
      <c r="F78" s="384" t="s">
        <v>30</v>
      </c>
      <c r="G78" s="384" t="s">
        <v>3</v>
      </c>
    </row>
    <row r="79" spans="1:7" x14ac:dyDescent="0.25">
      <c r="A79" t="s">
        <v>373</v>
      </c>
      <c r="B79" s="10"/>
      <c r="C79" s="10"/>
      <c r="D79" s="10"/>
      <c r="E79" s="10"/>
    </row>
    <row r="80" spans="1:7" x14ac:dyDescent="0.25">
      <c r="A80" t="s">
        <v>349</v>
      </c>
      <c r="B80" s="10"/>
      <c r="C80" s="10"/>
      <c r="D80" s="10"/>
      <c r="E80" s="10"/>
    </row>
    <row r="81" spans="1:7" x14ac:dyDescent="0.25">
      <c r="A81" t="s">
        <v>324</v>
      </c>
      <c r="B81" s="10"/>
      <c r="C81" s="10"/>
      <c r="D81" s="10"/>
      <c r="E81" s="10"/>
    </row>
    <row r="82" spans="1:7" x14ac:dyDescent="0.25">
      <c r="A82" t="s">
        <v>339</v>
      </c>
      <c r="B82" s="10"/>
      <c r="C82" s="10"/>
      <c r="D82" s="10"/>
      <c r="E82" s="10"/>
    </row>
    <row r="83" spans="1:7" x14ac:dyDescent="0.25">
      <c r="A83" t="s">
        <v>227</v>
      </c>
      <c r="B83" s="10"/>
      <c r="C83" s="10"/>
      <c r="D83" s="10"/>
      <c r="E83" s="10"/>
    </row>
    <row r="84" spans="1:7" x14ac:dyDescent="0.25">
      <c r="A84" t="s">
        <v>341</v>
      </c>
      <c r="B84" s="10"/>
      <c r="C84" s="10"/>
      <c r="D84" s="10"/>
      <c r="E84" s="10"/>
    </row>
    <row r="85" spans="1:7" x14ac:dyDescent="0.25">
      <c r="A85" t="s">
        <v>362</v>
      </c>
      <c r="B85" s="10"/>
      <c r="C85" s="10"/>
      <c r="D85" s="10"/>
      <c r="E85" s="10"/>
    </row>
    <row r="86" spans="1:7" x14ac:dyDescent="0.25">
      <c r="A86" s="258" t="s">
        <v>344</v>
      </c>
      <c r="B86" s="353">
        <f>+E40/E1</f>
        <v>95</v>
      </c>
      <c r="C86" s="10">
        <f>+E43</f>
        <v>598.5</v>
      </c>
      <c r="D86" s="10">
        <f>+E44</f>
        <v>365</v>
      </c>
      <c r="E86" s="10">
        <f>+E34</f>
        <v>722</v>
      </c>
      <c r="F86" s="35">
        <f>+E53</f>
        <v>420</v>
      </c>
    </row>
    <row r="87" spans="1:7" x14ac:dyDescent="0.25">
      <c r="A87" s="258" t="s">
        <v>346</v>
      </c>
      <c r="B87" s="353">
        <f>+B86</f>
        <v>95</v>
      </c>
      <c r="C87" s="10"/>
      <c r="D87" s="10"/>
      <c r="E87" s="10"/>
    </row>
    <row r="88" spans="1:7" x14ac:dyDescent="0.25">
      <c r="A88" t="s">
        <v>374</v>
      </c>
      <c r="B88" s="10"/>
      <c r="C88" s="10"/>
      <c r="D88" s="10"/>
      <c r="E88" s="10"/>
    </row>
    <row r="89" spans="1:7" x14ac:dyDescent="0.25">
      <c r="A89" t="s">
        <v>296</v>
      </c>
      <c r="B89" s="10"/>
      <c r="C89" s="10"/>
      <c r="D89" s="10"/>
      <c r="E89" s="10"/>
    </row>
    <row r="90" spans="1:7" x14ac:dyDescent="0.25">
      <c r="A90" t="s">
        <v>348</v>
      </c>
      <c r="B90" s="10"/>
      <c r="C90" s="10"/>
      <c r="D90" s="10"/>
      <c r="E90" s="10"/>
    </row>
    <row r="92" spans="1:7" x14ac:dyDescent="0.25">
      <c r="B92" s="7">
        <f>SUM(B79:B91)</f>
        <v>190</v>
      </c>
      <c r="C92" s="7">
        <f t="shared" ref="C92:F92" si="1">SUM(C79:C91)</f>
        <v>598.5</v>
      </c>
      <c r="D92" s="7">
        <f t="shared" si="1"/>
        <v>365</v>
      </c>
      <c r="E92" s="7">
        <f t="shared" si="1"/>
        <v>722</v>
      </c>
      <c r="F92" s="7">
        <f t="shared" si="1"/>
        <v>420</v>
      </c>
      <c r="G92" s="7">
        <f>+SUM(B92:F92)</f>
        <v>2295.5</v>
      </c>
    </row>
    <row r="93" spans="1:7" x14ac:dyDescent="0.25">
      <c r="A93" t="s">
        <v>379</v>
      </c>
      <c r="B93" s="35"/>
      <c r="C93" s="7"/>
      <c r="D93" s="7"/>
      <c r="E93" s="35"/>
      <c r="F93" s="35"/>
      <c r="G93" s="35">
        <f>+G92-E55</f>
        <v>0</v>
      </c>
    </row>
  </sheetData>
  <mergeCells count="8">
    <mergeCell ref="A77:E77"/>
    <mergeCell ref="A2:A3"/>
    <mergeCell ref="C5:E5"/>
    <mergeCell ref="C6:D6"/>
    <mergeCell ref="C7:D7"/>
    <mergeCell ref="C8:D8"/>
    <mergeCell ref="A13:E13"/>
    <mergeCell ref="A28:E28"/>
  </mergeCells>
  <pageMargins left="0.7" right="0.7" top="0.75" bottom="0.2" header="0.3" footer="0.3"/>
  <pageSetup orientation="portrait" verticalDpi="12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C20BE-01F1-4D27-8CAB-F26C742A735B}">
  <sheetPr>
    <tabColor rgb="FFCDC5E5"/>
    <pageSetUpPr fitToPage="1"/>
  </sheetPr>
  <dimension ref="A1:I93"/>
  <sheetViews>
    <sheetView showGridLines="0" zoomScale="130" zoomScaleNormal="130" workbookViewId="0">
      <selection activeCell="C15" sqref="C15:C19"/>
    </sheetView>
  </sheetViews>
  <sheetFormatPr defaultColWidth="8.85546875" defaultRowHeight="15" x14ac:dyDescent="0.25"/>
  <cols>
    <col min="1" max="1" width="35" customWidth="1"/>
    <col min="2" max="2" width="15.28515625" bestFit="1" customWidth="1"/>
    <col min="4" max="4" width="15.42578125" bestFit="1" customWidth="1"/>
    <col min="5" max="5" width="13.42578125" bestFit="1" customWidth="1"/>
    <col min="6" max="6" width="10.5703125" bestFit="1" customWidth="1"/>
  </cols>
  <sheetData>
    <row r="1" spans="1:9" ht="28.5" x14ac:dyDescent="0.45">
      <c r="A1" s="286" t="s">
        <v>232</v>
      </c>
      <c r="B1" s="16"/>
      <c r="C1" s="16"/>
      <c r="D1" s="383" t="s">
        <v>223</v>
      </c>
      <c r="E1" s="300">
        <v>3</v>
      </c>
    </row>
    <row r="2" spans="1:9" x14ac:dyDescent="0.25">
      <c r="A2" s="276" t="s">
        <v>335</v>
      </c>
      <c r="B2" s="16"/>
      <c r="C2" s="274"/>
      <c r="D2" s="1" t="s">
        <v>325</v>
      </c>
      <c r="E2" s="1" t="s">
        <v>323</v>
      </c>
    </row>
    <row r="3" spans="1:9" ht="15" customHeight="1" x14ac:dyDescent="0.25">
      <c r="A3" s="276"/>
      <c r="B3" s="16"/>
      <c r="C3" s="16"/>
      <c r="D3" s="275" t="s">
        <v>348</v>
      </c>
      <c r="E3" s="275" t="s">
        <v>349</v>
      </c>
    </row>
    <row r="4" spans="1:9" ht="15" customHeight="1" x14ac:dyDescent="0.25"/>
    <row r="5" spans="1:9" ht="15.75" thickBot="1" x14ac:dyDescent="0.3">
      <c r="C5" s="281" t="s">
        <v>336</v>
      </c>
      <c r="D5" s="281"/>
      <c r="E5" s="281"/>
    </row>
    <row r="6" spans="1:9" ht="15.75" thickBot="1" x14ac:dyDescent="0.3">
      <c r="C6" s="284" t="s">
        <v>332</v>
      </c>
      <c r="D6" s="284"/>
      <c r="E6" s="288">
        <f>+E58</f>
        <v>-1885</v>
      </c>
    </row>
    <row r="7" spans="1:9" ht="15.75" thickBot="1" x14ac:dyDescent="0.3">
      <c r="C7" s="284" t="s">
        <v>331</v>
      </c>
      <c r="D7" s="284"/>
      <c r="E7" s="289">
        <f>+E58/E26</f>
        <v>-0.17191062471500229</v>
      </c>
    </row>
    <row r="8" spans="1:9" ht="15.75" thickBot="1" x14ac:dyDescent="0.3">
      <c r="C8" s="284" t="s">
        <v>334</v>
      </c>
      <c r="D8" s="284"/>
      <c r="E8" s="288">
        <f>+E26/B21</f>
        <v>53.228155339805824</v>
      </c>
    </row>
    <row r="9" spans="1:9" s="5" customFormat="1" ht="15" customHeight="1" thickBot="1" x14ac:dyDescent="0.3">
      <c r="A9"/>
      <c r="B9"/>
      <c r="C9" s="287" t="s">
        <v>333</v>
      </c>
      <c r="D9" s="287"/>
      <c r="E9" s="288">
        <f>+E56/B21</f>
        <v>62.378640776699029</v>
      </c>
      <c r="I9"/>
    </row>
    <row r="10" spans="1:9" s="5" customFormat="1" ht="15" customHeight="1" thickBot="1" x14ac:dyDescent="0.3">
      <c r="A10"/>
      <c r="B10"/>
      <c r="C10" s="287" t="s">
        <v>337</v>
      </c>
      <c r="D10" s="287"/>
      <c r="E10" s="285">
        <f>+B21</f>
        <v>206</v>
      </c>
      <c r="I10"/>
    </row>
    <row r="11" spans="1:9" s="5" customFormat="1" ht="15.75" thickBot="1" x14ac:dyDescent="0.3">
      <c r="A11"/>
      <c r="B11"/>
      <c r="C11" s="287" t="s">
        <v>338</v>
      </c>
      <c r="D11" s="287"/>
      <c r="E11" s="288">
        <f>+E58/B21</f>
        <v>-9.150485436893204</v>
      </c>
      <c r="I11"/>
    </row>
    <row r="12" spans="1:9" s="5" customFormat="1" x14ac:dyDescent="0.25">
      <c r="A12"/>
      <c r="B12"/>
      <c r="C12"/>
      <c r="D12"/>
      <c r="E12"/>
      <c r="I12"/>
    </row>
    <row r="13" spans="1:9" x14ac:dyDescent="0.25">
      <c r="A13" s="259" t="s">
        <v>202</v>
      </c>
      <c r="B13" s="259"/>
      <c r="C13" s="259"/>
      <c r="D13" s="259"/>
      <c r="E13" s="259"/>
    </row>
    <row r="14" spans="1:9" x14ac:dyDescent="0.25">
      <c r="A14" s="278" t="s">
        <v>329</v>
      </c>
      <c r="B14" s="279" t="s">
        <v>239</v>
      </c>
      <c r="C14" s="279" t="s">
        <v>240</v>
      </c>
      <c r="D14" s="279"/>
      <c r="E14" s="279" t="s">
        <v>240</v>
      </c>
    </row>
    <row r="15" spans="1:9" x14ac:dyDescent="0.25">
      <c r="A15" s="277" t="s">
        <v>289</v>
      </c>
      <c r="B15" s="37">
        <v>38</v>
      </c>
      <c r="C15" s="10">
        <v>45</v>
      </c>
      <c r="E15" s="3">
        <f t="shared" ref="E15:E19" si="0">C15*B15</f>
        <v>1710</v>
      </c>
    </row>
    <row r="16" spans="1:9" x14ac:dyDescent="0.25">
      <c r="A16" s="265" t="s">
        <v>290</v>
      </c>
      <c r="B16" s="37">
        <v>55</v>
      </c>
      <c r="C16" s="10">
        <v>45</v>
      </c>
      <c r="E16" s="3">
        <f t="shared" si="0"/>
        <v>2475</v>
      </c>
    </row>
    <row r="17" spans="1:5" x14ac:dyDescent="0.25">
      <c r="A17" s="265" t="s">
        <v>291</v>
      </c>
      <c r="B17" s="37">
        <v>50</v>
      </c>
      <c r="C17" s="10">
        <v>60</v>
      </c>
      <c r="E17" s="3">
        <f t="shared" si="0"/>
        <v>3000</v>
      </c>
    </row>
    <row r="18" spans="1:5" x14ac:dyDescent="0.25">
      <c r="A18" s="265" t="s">
        <v>292</v>
      </c>
      <c r="B18" s="37">
        <v>45</v>
      </c>
      <c r="C18" s="10">
        <v>60</v>
      </c>
      <c r="E18" s="3">
        <f t="shared" si="0"/>
        <v>2700</v>
      </c>
    </row>
    <row r="19" spans="1:5" x14ac:dyDescent="0.25">
      <c r="A19" s="265" t="s">
        <v>293</v>
      </c>
      <c r="B19" s="37">
        <v>18</v>
      </c>
      <c r="C19" s="10">
        <v>60</v>
      </c>
      <c r="E19" s="3">
        <f t="shared" si="0"/>
        <v>1080</v>
      </c>
    </row>
    <row r="20" spans="1:5" s="3" customFormat="1" ht="6" customHeight="1" x14ac:dyDescent="0.25"/>
    <row r="21" spans="1:5" x14ac:dyDescent="0.25">
      <c r="A21" s="267" t="s">
        <v>330</v>
      </c>
      <c r="B21" s="174">
        <f>+SUM(B15:B20)</f>
        <v>206</v>
      </c>
      <c r="D21" s="268" t="s">
        <v>321</v>
      </c>
      <c r="E21" s="280">
        <f>SUBTOTAL(9,E15:E20)</f>
        <v>10965</v>
      </c>
    </row>
    <row r="22" spans="1:5" x14ac:dyDescent="0.25">
      <c r="A22" s="267"/>
      <c r="B22" s="290"/>
      <c r="D22" s="268"/>
      <c r="E22" s="13"/>
    </row>
    <row r="23" spans="1:5" x14ac:dyDescent="0.25">
      <c r="A23" s="265"/>
      <c r="B23" s="37"/>
      <c r="C23" s="10"/>
      <c r="E23" s="3"/>
    </row>
    <row r="24" spans="1:5" x14ac:dyDescent="0.25">
      <c r="A24" s="265"/>
      <c r="B24" s="37"/>
      <c r="C24" s="10"/>
      <c r="E24" s="3"/>
    </row>
    <row r="25" spans="1:5" ht="15.75" thickBot="1" x14ac:dyDescent="0.3">
      <c r="B25" s="2"/>
      <c r="C25" s="3"/>
      <c r="E25" s="3"/>
    </row>
    <row r="26" spans="1:5" ht="15.75" thickBot="1" x14ac:dyDescent="0.3">
      <c r="A26" s="260" t="s">
        <v>321</v>
      </c>
      <c r="B26" s="261"/>
      <c r="C26" s="262"/>
      <c r="D26" s="263"/>
      <c r="E26" s="264">
        <f>SUBTOTAL(9,E15:E25)</f>
        <v>10965</v>
      </c>
    </row>
    <row r="27" spans="1:5" s="5" customFormat="1" x14ac:dyDescent="0.25">
      <c r="A27"/>
      <c r="B27"/>
      <c r="C27"/>
      <c r="D27"/>
      <c r="E27"/>
    </row>
    <row r="28" spans="1:5" x14ac:dyDescent="0.25">
      <c r="A28" s="270" t="s">
        <v>224</v>
      </c>
      <c r="B28" s="270"/>
      <c r="C28" s="270"/>
      <c r="D28" s="270"/>
      <c r="E28" s="270"/>
    </row>
    <row r="30" spans="1:5" ht="15.75" x14ac:dyDescent="0.25">
      <c r="A30" s="271" t="s">
        <v>243</v>
      </c>
      <c r="B30" s="272"/>
      <c r="C30" s="272"/>
      <c r="D30" s="272" t="s">
        <v>244</v>
      </c>
      <c r="E30" s="272" t="s">
        <v>245</v>
      </c>
    </row>
    <row r="31" spans="1:5" x14ac:dyDescent="0.25">
      <c r="A31" t="s">
        <v>243</v>
      </c>
      <c r="C31" s="265">
        <v>280</v>
      </c>
      <c r="D31" s="38">
        <v>25</v>
      </c>
      <c r="E31" s="295">
        <f>+C31*D31</f>
        <v>7000</v>
      </c>
    </row>
    <row r="32" spans="1:5" x14ac:dyDescent="0.25">
      <c r="C32" s="265"/>
      <c r="D32" s="38"/>
      <c r="E32" s="10"/>
    </row>
    <row r="33" spans="1:5" x14ac:dyDescent="0.25">
      <c r="C33" s="265"/>
      <c r="D33" s="38"/>
      <c r="E33" s="10"/>
    </row>
    <row r="34" spans="1:5" x14ac:dyDescent="0.25">
      <c r="C34" s="268"/>
      <c r="D34" s="268" t="s">
        <v>251</v>
      </c>
      <c r="E34" s="296">
        <f>SUBTOTAL(9,E30:E33)</f>
        <v>7000</v>
      </c>
    </row>
    <row r="36" spans="1:5" ht="15.75" x14ac:dyDescent="0.25">
      <c r="A36" s="271" t="s">
        <v>143</v>
      </c>
      <c r="B36" s="272" t="s">
        <v>246</v>
      </c>
      <c r="C36" s="272" t="s">
        <v>247</v>
      </c>
      <c r="D36" s="272" t="s">
        <v>248</v>
      </c>
      <c r="E36" s="272" t="s">
        <v>249</v>
      </c>
    </row>
    <row r="37" spans="1:5" x14ac:dyDescent="0.25">
      <c r="A37" t="s">
        <v>275</v>
      </c>
      <c r="B37" s="265">
        <v>0</v>
      </c>
      <c r="C37" s="265">
        <v>0</v>
      </c>
      <c r="D37" s="38">
        <v>20</v>
      </c>
      <c r="E37" s="297">
        <v>1500</v>
      </c>
    </row>
    <row r="38" spans="1:5" x14ac:dyDescent="0.25">
      <c r="A38" t="s">
        <v>250</v>
      </c>
      <c r="B38" s="265"/>
      <c r="C38" s="265"/>
      <c r="D38" s="38">
        <v>10</v>
      </c>
      <c r="E38" s="266">
        <v>200</v>
      </c>
    </row>
    <row r="39" spans="1:5" x14ac:dyDescent="0.25">
      <c r="A39" t="s">
        <v>294</v>
      </c>
      <c r="B39" s="265"/>
      <c r="C39" s="265"/>
      <c r="D39" s="38">
        <v>10</v>
      </c>
      <c r="E39" s="266">
        <v>0</v>
      </c>
    </row>
    <row r="40" spans="1:5" x14ac:dyDescent="0.25">
      <c r="B40" s="265"/>
      <c r="C40" s="265"/>
      <c r="D40" s="38"/>
      <c r="E40" s="266"/>
    </row>
    <row r="41" spans="1:5" x14ac:dyDescent="0.25">
      <c r="B41" s="265"/>
      <c r="C41" s="268"/>
      <c r="D41" s="5" t="s">
        <v>320</v>
      </c>
      <c r="E41" s="296">
        <f>SUBTOTAL(9,E37:E40)</f>
        <v>1700</v>
      </c>
    </row>
    <row r="43" spans="1:5" ht="15.75" x14ac:dyDescent="0.25">
      <c r="A43" s="271" t="s">
        <v>252</v>
      </c>
      <c r="B43" s="272" t="s">
        <v>253</v>
      </c>
      <c r="C43" s="272"/>
      <c r="D43" s="272" t="s">
        <v>254</v>
      </c>
      <c r="E43" s="272" t="s">
        <v>245</v>
      </c>
    </row>
    <row r="44" spans="1:5" x14ac:dyDescent="0.25">
      <c r="A44" t="s">
        <v>255</v>
      </c>
      <c r="B44" s="265">
        <v>1</v>
      </c>
      <c r="C44" s="265"/>
      <c r="D44" s="10">
        <v>1800</v>
      </c>
      <c r="E44" s="291">
        <f>D44*B44</f>
        <v>1800</v>
      </c>
    </row>
    <row r="45" spans="1:5" x14ac:dyDescent="0.25">
      <c r="A45" t="s">
        <v>256</v>
      </c>
      <c r="B45" s="265">
        <v>1</v>
      </c>
      <c r="C45" s="265"/>
      <c r="D45" s="10">
        <v>300</v>
      </c>
      <c r="E45" s="3">
        <f>D45*B45</f>
        <v>300</v>
      </c>
    </row>
    <row r="46" spans="1:5" x14ac:dyDescent="0.25">
      <c r="A46" t="s">
        <v>257</v>
      </c>
      <c r="B46" s="265">
        <v>1</v>
      </c>
      <c r="C46" s="265"/>
      <c r="D46" s="10">
        <v>600</v>
      </c>
      <c r="E46" s="3">
        <f>D46*B46</f>
        <v>600</v>
      </c>
    </row>
    <row r="47" spans="1:5" x14ac:dyDescent="0.25">
      <c r="B47" s="265"/>
      <c r="C47" s="265"/>
      <c r="D47" s="10"/>
      <c r="E47" s="3"/>
    </row>
    <row r="48" spans="1:5" x14ac:dyDescent="0.25">
      <c r="E48" s="3"/>
    </row>
    <row r="49" spans="1:5" x14ac:dyDescent="0.25">
      <c r="D49" s="5" t="s">
        <v>320</v>
      </c>
      <c r="E49" s="296">
        <f>SUBTOTAL(9,E44:E48)</f>
        <v>2700</v>
      </c>
    </row>
    <row r="50" spans="1:5" ht="15.75" x14ac:dyDescent="0.25">
      <c r="A50" s="271" t="s">
        <v>258</v>
      </c>
      <c r="B50" s="273"/>
      <c r="C50" s="273"/>
      <c r="D50" s="273"/>
      <c r="E50" s="273"/>
    </row>
    <row r="51" spans="1:5" x14ac:dyDescent="0.25">
      <c r="A51" t="s">
        <v>295</v>
      </c>
      <c r="D51" s="10"/>
      <c r="E51" s="295">
        <v>150</v>
      </c>
    </row>
    <row r="52" spans="1:5" x14ac:dyDescent="0.25">
      <c r="A52" t="s">
        <v>288</v>
      </c>
      <c r="D52" s="10"/>
      <c r="E52" s="295">
        <v>1300</v>
      </c>
    </row>
    <row r="53" spans="1:5" x14ac:dyDescent="0.25">
      <c r="D53" s="10"/>
      <c r="E53" s="10"/>
    </row>
    <row r="54" spans="1:5" x14ac:dyDescent="0.25">
      <c r="D54" s="5" t="s">
        <v>320</v>
      </c>
      <c r="E54" s="296">
        <f>SUBTOTAL(9,E51:E53)</f>
        <v>1450</v>
      </c>
    </row>
    <row r="55" spans="1:5" x14ac:dyDescent="0.25">
      <c r="E55" s="3"/>
    </row>
    <row r="56" spans="1:5" ht="15.75" x14ac:dyDescent="0.25">
      <c r="A56" s="269" t="s">
        <v>326</v>
      </c>
      <c r="B56" s="269"/>
      <c r="C56" s="269"/>
      <c r="D56" s="269"/>
      <c r="E56" s="298">
        <f>SUBTOTAL(9,E31:E55)</f>
        <v>12850</v>
      </c>
    </row>
    <row r="58" spans="1:5" x14ac:dyDescent="0.25">
      <c r="A58" s="274" t="s">
        <v>322</v>
      </c>
      <c r="B58" s="274"/>
      <c r="C58" s="274"/>
      <c r="D58" s="274"/>
      <c r="E58" s="299">
        <f>+E26-E56</f>
        <v>-1885</v>
      </c>
    </row>
    <row r="77" spans="1:7" ht="18.75" x14ac:dyDescent="0.3">
      <c r="A77" s="386" t="s">
        <v>378</v>
      </c>
      <c r="B77" s="386"/>
      <c r="C77" s="386"/>
      <c r="D77" s="386"/>
      <c r="E77" s="386"/>
    </row>
    <row r="78" spans="1:7" ht="45" x14ac:dyDescent="0.25">
      <c r="B78" s="384" t="s">
        <v>16</v>
      </c>
      <c r="C78" s="384" t="s">
        <v>18</v>
      </c>
      <c r="D78" s="384" t="s">
        <v>20</v>
      </c>
      <c r="E78" s="384" t="s">
        <v>24</v>
      </c>
      <c r="F78" s="384" t="s">
        <v>30</v>
      </c>
      <c r="G78" s="384" t="s">
        <v>3</v>
      </c>
    </row>
    <row r="79" spans="1:7" x14ac:dyDescent="0.25">
      <c r="A79" s="258" t="s">
        <v>373</v>
      </c>
      <c r="B79" s="10">
        <f>+$B$90</f>
        <v>566.66666666666663</v>
      </c>
      <c r="C79" s="10"/>
      <c r="D79" s="10"/>
      <c r="E79" s="10"/>
    </row>
    <row r="80" spans="1:7" x14ac:dyDescent="0.25">
      <c r="A80" s="258" t="s">
        <v>349</v>
      </c>
      <c r="B80" s="10">
        <f>+B79</f>
        <v>566.66666666666663</v>
      </c>
      <c r="C80" s="10">
        <f>+E44</f>
        <v>1800</v>
      </c>
      <c r="D80" s="10">
        <v>900</v>
      </c>
      <c r="E80" s="10"/>
    </row>
    <row r="81" spans="1:7" x14ac:dyDescent="0.25">
      <c r="A81" t="s">
        <v>324</v>
      </c>
      <c r="B81" s="10"/>
      <c r="C81" s="10"/>
      <c r="D81" s="10"/>
      <c r="E81" s="10"/>
    </row>
    <row r="82" spans="1:7" x14ac:dyDescent="0.25">
      <c r="A82" t="s">
        <v>339</v>
      </c>
      <c r="B82" s="10"/>
      <c r="C82" s="10"/>
      <c r="D82" s="10"/>
      <c r="E82" s="10"/>
    </row>
    <row r="83" spans="1:7" x14ac:dyDescent="0.25">
      <c r="A83" t="s">
        <v>227</v>
      </c>
      <c r="B83" s="10"/>
      <c r="C83" s="10"/>
      <c r="D83" s="10"/>
      <c r="E83" s="10"/>
    </row>
    <row r="84" spans="1:7" x14ac:dyDescent="0.25">
      <c r="A84" t="s">
        <v>341</v>
      </c>
      <c r="B84" s="10"/>
      <c r="C84" s="10"/>
      <c r="D84" s="10"/>
      <c r="E84" s="10"/>
    </row>
    <row r="85" spans="1:7" x14ac:dyDescent="0.25">
      <c r="A85" t="s">
        <v>362</v>
      </c>
      <c r="B85" s="10"/>
      <c r="C85" s="10"/>
      <c r="D85" s="10"/>
      <c r="E85" s="10"/>
    </row>
    <row r="86" spans="1:7" x14ac:dyDescent="0.25">
      <c r="A86" t="s">
        <v>344</v>
      </c>
      <c r="B86" s="10"/>
      <c r="C86" s="10"/>
      <c r="D86" s="10"/>
      <c r="E86" s="10"/>
    </row>
    <row r="87" spans="1:7" x14ac:dyDescent="0.25">
      <c r="A87" t="s">
        <v>346</v>
      </c>
      <c r="B87" s="10"/>
      <c r="C87" s="10"/>
      <c r="D87" s="10"/>
      <c r="E87" s="10"/>
    </row>
    <row r="88" spans="1:7" x14ac:dyDescent="0.25">
      <c r="A88" t="s">
        <v>374</v>
      </c>
      <c r="B88" s="10"/>
      <c r="C88" s="10"/>
      <c r="D88" s="10"/>
      <c r="E88" s="10"/>
    </row>
    <row r="89" spans="1:7" x14ac:dyDescent="0.25">
      <c r="A89" t="s">
        <v>296</v>
      </c>
      <c r="B89" s="10"/>
      <c r="C89" s="10"/>
      <c r="D89" s="10"/>
      <c r="E89" s="10"/>
    </row>
    <row r="90" spans="1:7" x14ac:dyDescent="0.25">
      <c r="A90" s="258" t="s">
        <v>348</v>
      </c>
      <c r="B90" s="10">
        <f>+E41/E1</f>
        <v>566.66666666666663</v>
      </c>
      <c r="C90" s="10"/>
      <c r="D90" s="10"/>
      <c r="E90" s="10">
        <f>+E31</f>
        <v>7000</v>
      </c>
      <c r="F90" s="35">
        <f>+E54</f>
        <v>1450</v>
      </c>
    </row>
    <row r="92" spans="1:7" x14ac:dyDescent="0.25">
      <c r="B92" s="7">
        <f>SUM(B79:B91)</f>
        <v>1700</v>
      </c>
      <c r="C92" s="7">
        <f t="shared" ref="C92:F92" si="1">SUM(C79:C91)</f>
        <v>1800</v>
      </c>
      <c r="D92" s="7">
        <f t="shared" si="1"/>
        <v>900</v>
      </c>
      <c r="E92" s="7">
        <f t="shared" si="1"/>
        <v>7000</v>
      </c>
      <c r="F92" s="7">
        <f t="shared" si="1"/>
        <v>1450</v>
      </c>
      <c r="G92" s="7">
        <f>+SUM(B92:F92)</f>
        <v>12850</v>
      </c>
    </row>
    <row r="93" spans="1:7" x14ac:dyDescent="0.25">
      <c r="A93" t="s">
        <v>379</v>
      </c>
      <c r="B93" s="35"/>
      <c r="C93" s="7"/>
      <c r="D93" s="7"/>
      <c r="E93" s="35"/>
      <c r="F93" s="35"/>
      <c r="G93" s="35">
        <f>+G92-E56</f>
        <v>0</v>
      </c>
    </row>
  </sheetData>
  <mergeCells count="8">
    <mergeCell ref="A77:E77"/>
    <mergeCell ref="A2:A3"/>
    <mergeCell ref="C5:E5"/>
    <mergeCell ref="C6:D6"/>
    <mergeCell ref="C7:D7"/>
    <mergeCell ref="C8:D8"/>
    <mergeCell ref="A13:E13"/>
    <mergeCell ref="A28:E28"/>
  </mergeCells>
  <pageMargins left="0.7" right="0.7" top="0.75" bottom="0.2" header="0.3" footer="0.3"/>
  <pageSetup scale="98" orientation="portrait" verticalDpi="12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5211E-8E63-4A7B-9AB0-F514F8D7748B}">
  <sheetPr>
    <tabColor rgb="FFCDC5E5"/>
  </sheetPr>
  <dimension ref="A1:I93"/>
  <sheetViews>
    <sheetView showGridLines="0" workbookViewId="0"/>
  </sheetViews>
  <sheetFormatPr defaultColWidth="8.85546875" defaultRowHeight="15" x14ac:dyDescent="0.25"/>
  <cols>
    <col min="1" max="1" width="35" customWidth="1"/>
    <col min="2" max="2" width="15.28515625" bestFit="1" customWidth="1"/>
    <col min="4" max="4" width="15.42578125" bestFit="1" customWidth="1"/>
    <col min="5" max="5" width="11.42578125" bestFit="1" customWidth="1"/>
  </cols>
  <sheetData>
    <row r="1" spans="1:9" ht="28.5" x14ac:dyDescent="0.45">
      <c r="A1" s="286" t="s">
        <v>350</v>
      </c>
      <c r="B1" s="16"/>
      <c r="C1" s="16"/>
      <c r="D1" s="383" t="s">
        <v>223</v>
      </c>
      <c r="E1" s="300">
        <v>1</v>
      </c>
    </row>
    <row r="2" spans="1:9" x14ac:dyDescent="0.25">
      <c r="A2" s="276" t="s">
        <v>335</v>
      </c>
      <c r="B2" s="16"/>
      <c r="C2" s="274"/>
      <c r="D2" s="1" t="s">
        <v>325</v>
      </c>
      <c r="E2" s="1" t="s">
        <v>323</v>
      </c>
    </row>
    <row r="3" spans="1:9" ht="15" customHeight="1" x14ac:dyDescent="0.25">
      <c r="A3" s="276"/>
      <c r="B3" s="16"/>
      <c r="C3" s="16"/>
      <c r="D3" s="275" t="s">
        <v>296</v>
      </c>
      <c r="E3" s="275" t="s">
        <v>296</v>
      </c>
    </row>
    <row r="4" spans="1:9" ht="15" customHeight="1" x14ac:dyDescent="0.25"/>
    <row r="5" spans="1:9" ht="15.75" thickBot="1" x14ac:dyDescent="0.3">
      <c r="C5" s="281" t="s">
        <v>336</v>
      </c>
      <c r="D5" s="281"/>
      <c r="E5" s="281"/>
    </row>
    <row r="6" spans="1:9" ht="15.75" thickBot="1" x14ac:dyDescent="0.3">
      <c r="C6" s="284" t="s">
        <v>332</v>
      </c>
      <c r="D6" s="284"/>
      <c r="E6" s="288">
        <f>+E57</f>
        <v>-160</v>
      </c>
    </row>
    <row r="7" spans="1:9" ht="15.75" thickBot="1" x14ac:dyDescent="0.3">
      <c r="C7" s="284" t="s">
        <v>331</v>
      </c>
      <c r="D7" s="284"/>
      <c r="E7" s="289">
        <f>+E57/E26</f>
        <v>-0.11594202898550725</v>
      </c>
    </row>
    <row r="8" spans="1:9" ht="15.75" thickBot="1" x14ac:dyDescent="0.3">
      <c r="C8" s="284" t="s">
        <v>334</v>
      </c>
      <c r="D8" s="284"/>
      <c r="E8" s="288">
        <f>+E26/B21</f>
        <v>21.5625</v>
      </c>
    </row>
    <row r="9" spans="1:9" s="5" customFormat="1" ht="15" customHeight="1" thickBot="1" x14ac:dyDescent="0.3">
      <c r="A9"/>
      <c r="B9"/>
      <c r="C9" s="287" t="s">
        <v>333</v>
      </c>
      <c r="D9" s="287"/>
      <c r="E9" s="288">
        <f>+E55/B21</f>
        <v>24.0625</v>
      </c>
      <c r="I9"/>
    </row>
    <row r="10" spans="1:9" s="5" customFormat="1" ht="15" customHeight="1" thickBot="1" x14ac:dyDescent="0.3">
      <c r="A10"/>
      <c r="B10"/>
      <c r="C10" s="287" t="s">
        <v>337</v>
      </c>
      <c r="D10" s="287"/>
      <c r="E10" s="285">
        <f>+B21</f>
        <v>64</v>
      </c>
      <c r="I10"/>
    </row>
    <row r="11" spans="1:9" s="5" customFormat="1" ht="15.75" thickBot="1" x14ac:dyDescent="0.3">
      <c r="A11"/>
      <c r="B11"/>
      <c r="C11" s="287" t="s">
        <v>338</v>
      </c>
      <c r="D11" s="287"/>
      <c r="E11" s="288">
        <f>+E57/B21</f>
        <v>-2.5</v>
      </c>
      <c r="I11"/>
    </row>
    <row r="12" spans="1:9" s="5" customFormat="1" x14ac:dyDescent="0.25">
      <c r="A12"/>
      <c r="B12"/>
      <c r="C12"/>
      <c r="D12"/>
      <c r="E12"/>
      <c r="I12"/>
    </row>
    <row r="13" spans="1:9" x14ac:dyDescent="0.25">
      <c r="A13" s="259" t="s">
        <v>202</v>
      </c>
      <c r="B13" s="259"/>
      <c r="C13" s="259"/>
      <c r="D13" s="259"/>
      <c r="E13" s="259"/>
    </row>
    <row r="14" spans="1:9" x14ac:dyDescent="0.25">
      <c r="A14" s="278" t="s">
        <v>329</v>
      </c>
      <c r="B14" s="279" t="s">
        <v>239</v>
      </c>
      <c r="C14" s="279" t="s">
        <v>240</v>
      </c>
      <c r="D14" s="279"/>
      <c r="E14" s="279" t="s">
        <v>240</v>
      </c>
    </row>
    <row r="15" spans="1:9" x14ac:dyDescent="0.25">
      <c r="A15" s="277" t="s">
        <v>297</v>
      </c>
      <c r="B15" s="37">
        <v>4</v>
      </c>
      <c r="C15" s="10">
        <v>45</v>
      </c>
      <c r="E15" s="3">
        <f t="shared" ref="E15:E19" si="0">C15*B15</f>
        <v>180</v>
      </c>
    </row>
    <row r="16" spans="1:9" x14ac:dyDescent="0.25">
      <c r="A16" s="265" t="s">
        <v>298</v>
      </c>
      <c r="B16" s="37">
        <v>2</v>
      </c>
      <c r="C16" s="10">
        <v>60</v>
      </c>
      <c r="E16" s="3">
        <f t="shared" si="0"/>
        <v>120</v>
      </c>
    </row>
    <row r="17" spans="1:5" x14ac:dyDescent="0.25">
      <c r="A17" s="265" t="s">
        <v>299</v>
      </c>
      <c r="B17" s="37">
        <v>4</v>
      </c>
      <c r="C17" s="10">
        <v>60</v>
      </c>
      <c r="E17" s="3">
        <f t="shared" si="0"/>
        <v>240</v>
      </c>
    </row>
    <row r="18" spans="1:5" x14ac:dyDescent="0.25">
      <c r="A18" s="265" t="s">
        <v>300</v>
      </c>
      <c r="B18" s="37">
        <v>3</v>
      </c>
      <c r="C18" s="10">
        <v>60</v>
      </c>
      <c r="E18" s="3">
        <f t="shared" si="0"/>
        <v>180</v>
      </c>
    </row>
    <row r="19" spans="1:5" x14ac:dyDescent="0.25">
      <c r="A19" s="265" t="s">
        <v>301</v>
      </c>
      <c r="B19" s="37">
        <v>3</v>
      </c>
      <c r="C19" s="10">
        <v>60</v>
      </c>
      <c r="E19" s="3">
        <f t="shared" si="0"/>
        <v>180</v>
      </c>
    </row>
    <row r="20" spans="1:5" s="3" customFormat="1" ht="6" customHeight="1" x14ac:dyDescent="0.25"/>
    <row r="21" spans="1:5" x14ac:dyDescent="0.25">
      <c r="A21" s="267" t="s">
        <v>330</v>
      </c>
      <c r="B21" s="174">
        <f>+SUM(B15:B20)*4</f>
        <v>64</v>
      </c>
      <c r="D21" s="268" t="s">
        <v>321</v>
      </c>
      <c r="E21" s="280">
        <f>SUBTOTAL(9,E15:E20)</f>
        <v>900</v>
      </c>
    </row>
    <row r="22" spans="1:5" x14ac:dyDescent="0.25">
      <c r="A22" s="267"/>
      <c r="B22" s="290"/>
      <c r="D22" s="268"/>
      <c r="E22" s="13"/>
    </row>
    <row r="23" spans="1:5" x14ac:dyDescent="0.25">
      <c r="A23" s="265" t="s">
        <v>302</v>
      </c>
      <c r="B23" s="37"/>
      <c r="C23" s="10"/>
      <c r="E23" s="3">
        <v>480</v>
      </c>
    </row>
    <row r="24" spans="1:5" x14ac:dyDescent="0.25">
      <c r="A24" s="265"/>
      <c r="B24" s="37"/>
      <c r="C24" s="10"/>
      <c r="E24" s="3"/>
    </row>
    <row r="25" spans="1:5" ht="15.75" thickBot="1" x14ac:dyDescent="0.3">
      <c r="B25" s="2"/>
      <c r="C25" s="3"/>
      <c r="E25" s="3"/>
    </row>
    <row r="26" spans="1:5" ht="15.75" thickBot="1" x14ac:dyDescent="0.3">
      <c r="A26" s="260" t="s">
        <v>321</v>
      </c>
      <c r="B26" s="261"/>
      <c r="C26" s="262"/>
      <c r="D26" s="263"/>
      <c r="E26" s="264">
        <f>SUBTOTAL(9,E15:E25)</f>
        <v>1380</v>
      </c>
    </row>
    <row r="27" spans="1:5" s="5" customFormat="1" x14ac:dyDescent="0.25">
      <c r="A27"/>
      <c r="B27"/>
      <c r="C27"/>
      <c r="D27"/>
      <c r="E27"/>
    </row>
    <row r="28" spans="1:5" x14ac:dyDescent="0.25">
      <c r="A28" s="270" t="s">
        <v>224</v>
      </c>
      <c r="B28" s="270"/>
      <c r="C28" s="270"/>
      <c r="D28" s="270"/>
      <c r="E28" s="270"/>
    </row>
    <row r="30" spans="1:5" ht="15.75" x14ac:dyDescent="0.25">
      <c r="A30" s="271" t="s">
        <v>243</v>
      </c>
      <c r="B30" s="272"/>
      <c r="C30" s="272"/>
      <c r="D30" s="272" t="s">
        <v>244</v>
      </c>
      <c r="E30" s="272" t="s">
        <v>245</v>
      </c>
    </row>
    <row r="31" spans="1:5" x14ac:dyDescent="0.25">
      <c r="A31" t="s">
        <v>274</v>
      </c>
      <c r="C31" s="301"/>
      <c r="D31" s="38">
        <v>10</v>
      </c>
      <c r="E31" s="295">
        <f>D31*B21</f>
        <v>640</v>
      </c>
    </row>
    <row r="32" spans="1:5" x14ac:dyDescent="0.25">
      <c r="C32" s="265"/>
      <c r="D32" s="38"/>
      <c r="E32" s="10"/>
    </row>
    <row r="33" spans="1:5" x14ac:dyDescent="0.25">
      <c r="C33" s="265"/>
      <c r="D33" s="38"/>
      <c r="E33" s="10"/>
    </row>
    <row r="34" spans="1:5" x14ac:dyDescent="0.25">
      <c r="C34" s="268"/>
      <c r="D34" s="268" t="s">
        <v>251</v>
      </c>
      <c r="E34" s="296">
        <f>SUBTOTAL(9,E30:E33)</f>
        <v>640</v>
      </c>
    </row>
    <row r="36" spans="1:5" ht="15.75" x14ac:dyDescent="0.25">
      <c r="A36" s="271" t="s">
        <v>143</v>
      </c>
      <c r="B36" s="272" t="s">
        <v>246</v>
      </c>
      <c r="C36" s="272" t="s">
        <v>247</v>
      </c>
      <c r="D36" s="272" t="s">
        <v>248</v>
      </c>
      <c r="E36" s="272" t="s">
        <v>249</v>
      </c>
    </row>
    <row r="37" spans="1:5" x14ac:dyDescent="0.25">
      <c r="A37" t="s">
        <v>275</v>
      </c>
      <c r="B37" s="265">
        <v>0</v>
      </c>
      <c r="C37" s="265">
        <v>0</v>
      </c>
      <c r="D37" s="38">
        <v>0</v>
      </c>
      <c r="E37" s="297">
        <v>400</v>
      </c>
    </row>
    <row r="38" spans="1:5" x14ac:dyDescent="0.25">
      <c r="A38" t="s">
        <v>250</v>
      </c>
      <c r="B38" s="265"/>
      <c r="C38" s="265"/>
      <c r="D38" s="38"/>
      <c r="E38" s="266"/>
    </row>
    <row r="39" spans="1:5" x14ac:dyDescent="0.25">
      <c r="B39" s="265"/>
      <c r="C39" s="265"/>
      <c r="D39" s="38"/>
      <c r="E39" s="266"/>
    </row>
    <row r="40" spans="1:5" x14ac:dyDescent="0.25">
      <c r="B40" s="265"/>
      <c r="C40" s="268"/>
      <c r="D40" s="5" t="s">
        <v>320</v>
      </c>
      <c r="E40" s="296">
        <f>SUBTOTAL(9,E37:E39)</f>
        <v>400</v>
      </c>
    </row>
    <row r="42" spans="1:5" ht="15.75" x14ac:dyDescent="0.25">
      <c r="A42" s="271" t="s">
        <v>252</v>
      </c>
      <c r="B42" s="272" t="s">
        <v>253</v>
      </c>
      <c r="C42" s="272"/>
      <c r="D42" s="272" t="s">
        <v>254</v>
      </c>
      <c r="E42" s="272" t="s">
        <v>245</v>
      </c>
    </row>
    <row r="43" spans="1:5" x14ac:dyDescent="0.25">
      <c r="A43" t="s">
        <v>255</v>
      </c>
      <c r="B43" s="265">
        <v>1</v>
      </c>
      <c r="C43" s="265"/>
      <c r="D43" s="10">
        <v>500</v>
      </c>
      <c r="E43" s="291">
        <f>D43*B43</f>
        <v>500</v>
      </c>
    </row>
    <row r="44" spans="1:5" x14ac:dyDescent="0.25">
      <c r="A44" t="s">
        <v>256</v>
      </c>
      <c r="B44" s="265">
        <v>0</v>
      </c>
      <c r="C44" s="265"/>
      <c r="D44" s="10">
        <v>0</v>
      </c>
      <c r="E44" s="3">
        <f>D44*B44</f>
        <v>0</v>
      </c>
    </row>
    <row r="45" spans="1:5" x14ac:dyDescent="0.25">
      <c r="A45" t="s">
        <v>257</v>
      </c>
      <c r="B45" s="265">
        <v>0</v>
      </c>
      <c r="C45" s="265"/>
      <c r="D45" s="10">
        <v>0</v>
      </c>
      <c r="E45" s="3">
        <f>D45*B45</f>
        <v>0</v>
      </c>
    </row>
    <row r="46" spans="1:5" x14ac:dyDescent="0.25">
      <c r="B46" s="265"/>
      <c r="C46" s="265"/>
      <c r="D46" s="10"/>
      <c r="E46" s="3"/>
    </row>
    <row r="47" spans="1:5" x14ac:dyDescent="0.25">
      <c r="E47" s="3"/>
    </row>
    <row r="48" spans="1:5" x14ac:dyDescent="0.25">
      <c r="D48" s="5" t="s">
        <v>320</v>
      </c>
      <c r="E48" s="296">
        <f>SUBTOTAL(9,E43:E47)</f>
        <v>500</v>
      </c>
    </row>
    <row r="49" spans="1:5" ht="15.75" x14ac:dyDescent="0.25">
      <c r="A49" s="271" t="s">
        <v>258</v>
      </c>
      <c r="B49" s="273"/>
      <c r="C49" s="273"/>
      <c r="D49" s="273"/>
      <c r="E49" s="273"/>
    </row>
    <row r="50" spans="1:5" x14ac:dyDescent="0.25">
      <c r="A50" t="s">
        <v>303</v>
      </c>
      <c r="D50" s="10"/>
      <c r="E50" s="295">
        <v>0</v>
      </c>
    </row>
    <row r="51" spans="1:5" x14ac:dyDescent="0.25">
      <c r="D51" s="10"/>
      <c r="E51" s="295">
        <v>0</v>
      </c>
    </row>
    <row r="52" spans="1:5" x14ac:dyDescent="0.25">
      <c r="D52" s="10"/>
      <c r="E52" s="10"/>
    </row>
    <row r="53" spans="1:5" x14ac:dyDescent="0.25">
      <c r="D53" s="5" t="s">
        <v>320</v>
      </c>
      <c r="E53" s="296">
        <f>SUBTOTAL(9,E50:E52)</f>
        <v>0</v>
      </c>
    </row>
    <row r="54" spans="1:5" x14ac:dyDescent="0.25">
      <c r="E54" s="3"/>
    </row>
    <row r="55" spans="1:5" ht="15.75" x14ac:dyDescent="0.25">
      <c r="A55" s="269" t="s">
        <v>326</v>
      </c>
      <c r="B55" s="269"/>
      <c r="C55" s="269"/>
      <c r="D55" s="269"/>
      <c r="E55" s="298">
        <f>SUBTOTAL(9,E31:E54)</f>
        <v>1540</v>
      </c>
    </row>
    <row r="57" spans="1:5" x14ac:dyDescent="0.25">
      <c r="A57" s="274" t="s">
        <v>322</v>
      </c>
      <c r="B57" s="274"/>
      <c r="C57" s="274"/>
      <c r="D57" s="274"/>
      <c r="E57" s="299">
        <f>+E26-E55</f>
        <v>-160</v>
      </c>
    </row>
    <row r="77" spans="1:7" ht="18.75" x14ac:dyDescent="0.3">
      <c r="A77" s="386" t="s">
        <v>378</v>
      </c>
      <c r="B77" s="386"/>
      <c r="C77" s="386"/>
      <c r="D77" s="386"/>
      <c r="E77" s="386"/>
    </row>
    <row r="78" spans="1:7" ht="45" x14ac:dyDescent="0.25">
      <c r="B78" s="384" t="s">
        <v>16</v>
      </c>
      <c r="C78" s="384" t="s">
        <v>18</v>
      </c>
      <c r="D78" s="384" t="s">
        <v>20</v>
      </c>
      <c r="E78" s="384" t="s">
        <v>24</v>
      </c>
      <c r="F78" s="384" t="s">
        <v>30</v>
      </c>
      <c r="G78" s="384" t="s">
        <v>3</v>
      </c>
    </row>
    <row r="79" spans="1:7" x14ac:dyDescent="0.25">
      <c r="A79" t="s">
        <v>373</v>
      </c>
      <c r="B79" s="10"/>
      <c r="C79" s="10"/>
      <c r="D79" s="10"/>
      <c r="E79" s="10"/>
    </row>
    <row r="80" spans="1:7" x14ac:dyDescent="0.25">
      <c r="A80" t="s">
        <v>349</v>
      </c>
      <c r="B80" s="10"/>
      <c r="C80" s="10"/>
      <c r="D80" s="10"/>
      <c r="E80" s="10"/>
    </row>
    <row r="81" spans="1:7" x14ac:dyDescent="0.25">
      <c r="A81" t="s">
        <v>324</v>
      </c>
      <c r="B81" s="10"/>
      <c r="C81" s="10"/>
      <c r="D81" s="10"/>
      <c r="E81" s="10"/>
    </row>
    <row r="82" spans="1:7" x14ac:dyDescent="0.25">
      <c r="A82" t="s">
        <v>339</v>
      </c>
      <c r="B82" s="10"/>
      <c r="C82" s="10"/>
      <c r="D82" s="10"/>
      <c r="E82" s="10"/>
    </row>
    <row r="83" spans="1:7" x14ac:dyDescent="0.25">
      <c r="A83" t="s">
        <v>227</v>
      </c>
      <c r="B83" s="10"/>
      <c r="C83" s="10"/>
      <c r="D83" s="10"/>
      <c r="E83" s="10"/>
    </row>
    <row r="84" spans="1:7" x14ac:dyDescent="0.25">
      <c r="A84" t="s">
        <v>341</v>
      </c>
      <c r="B84" s="10"/>
      <c r="C84" s="10"/>
      <c r="D84" s="10"/>
      <c r="E84" s="10"/>
    </row>
    <row r="85" spans="1:7" x14ac:dyDescent="0.25">
      <c r="A85" t="s">
        <v>362</v>
      </c>
      <c r="B85" s="10"/>
      <c r="C85" s="10"/>
      <c r="D85" s="10"/>
      <c r="E85" s="10"/>
    </row>
    <row r="86" spans="1:7" x14ac:dyDescent="0.25">
      <c r="A86" t="s">
        <v>344</v>
      </c>
      <c r="B86" s="10"/>
      <c r="C86" s="10"/>
      <c r="D86" s="10"/>
      <c r="E86" s="10"/>
    </row>
    <row r="87" spans="1:7" x14ac:dyDescent="0.25">
      <c r="A87" t="s">
        <v>346</v>
      </c>
      <c r="B87" s="10"/>
      <c r="C87" s="10"/>
      <c r="D87" s="10"/>
      <c r="E87" s="10"/>
    </row>
    <row r="88" spans="1:7" x14ac:dyDescent="0.25">
      <c r="A88" t="s">
        <v>374</v>
      </c>
      <c r="B88" s="10"/>
      <c r="C88" s="10"/>
      <c r="D88" s="10"/>
      <c r="E88" s="10"/>
    </row>
    <row r="89" spans="1:7" x14ac:dyDescent="0.25">
      <c r="A89" s="258" t="s">
        <v>296</v>
      </c>
      <c r="B89" s="10">
        <f>+E40</f>
        <v>400</v>
      </c>
      <c r="C89" s="10">
        <f>+E43</f>
        <v>500</v>
      </c>
      <c r="D89" s="10">
        <f>+E44+E45</f>
        <v>0</v>
      </c>
      <c r="E89" s="10">
        <f>+E31</f>
        <v>640</v>
      </c>
      <c r="F89" s="35">
        <f>+E53</f>
        <v>0</v>
      </c>
    </row>
    <row r="90" spans="1:7" x14ac:dyDescent="0.25">
      <c r="A90" t="s">
        <v>348</v>
      </c>
      <c r="B90" s="10"/>
      <c r="C90" s="10"/>
      <c r="D90" s="10"/>
      <c r="E90" s="10"/>
      <c r="F90" s="35"/>
    </row>
    <row r="92" spans="1:7" x14ac:dyDescent="0.25">
      <c r="B92" s="7">
        <f>SUM(B79:B91)</f>
        <v>400</v>
      </c>
      <c r="C92" s="7">
        <f t="shared" ref="C92:F92" si="1">SUM(C79:C91)</f>
        <v>500</v>
      </c>
      <c r="D92" s="7">
        <f t="shared" si="1"/>
        <v>0</v>
      </c>
      <c r="E92" s="7">
        <f t="shared" si="1"/>
        <v>640</v>
      </c>
      <c r="F92" s="7">
        <f t="shared" si="1"/>
        <v>0</v>
      </c>
      <c r="G92" s="7">
        <f>+SUM(B92:F92)</f>
        <v>1540</v>
      </c>
    </row>
    <row r="93" spans="1:7" x14ac:dyDescent="0.25">
      <c r="A93" t="s">
        <v>379</v>
      </c>
      <c r="B93" s="35"/>
      <c r="C93" s="7"/>
      <c r="D93" s="7"/>
      <c r="E93" s="35"/>
      <c r="F93" s="35"/>
      <c r="G93" s="35">
        <f>+G92-E55</f>
        <v>0</v>
      </c>
    </row>
  </sheetData>
  <mergeCells count="8">
    <mergeCell ref="A77:E77"/>
    <mergeCell ref="A2:A3"/>
    <mergeCell ref="C5:E5"/>
    <mergeCell ref="C6:D6"/>
    <mergeCell ref="C7:D7"/>
    <mergeCell ref="C8:D8"/>
    <mergeCell ref="A13:E13"/>
    <mergeCell ref="A28:E28"/>
  </mergeCells>
  <pageMargins left="0.7" right="0.7" top="0.75" bottom="0.2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42561-1243-45E3-AABD-C19AD381B5FF}">
  <sheetPr>
    <tabColor rgb="FFCDC5E5"/>
  </sheetPr>
  <dimension ref="A1:I93"/>
  <sheetViews>
    <sheetView showGridLines="0" workbookViewId="0"/>
  </sheetViews>
  <sheetFormatPr defaultColWidth="8.85546875" defaultRowHeight="15" x14ac:dyDescent="0.25"/>
  <cols>
    <col min="1" max="1" width="35" customWidth="1"/>
    <col min="2" max="2" width="15.28515625" bestFit="1" customWidth="1"/>
    <col min="4" max="4" width="15.42578125" bestFit="1" customWidth="1"/>
    <col min="5" max="5" width="11.42578125" bestFit="1" customWidth="1"/>
  </cols>
  <sheetData>
    <row r="1" spans="1:9" ht="28.5" x14ac:dyDescent="0.45">
      <c r="A1" s="286" t="s">
        <v>233</v>
      </c>
      <c r="B1" s="16"/>
      <c r="C1" s="16"/>
      <c r="D1" s="383" t="s">
        <v>223</v>
      </c>
      <c r="E1" s="300">
        <v>1</v>
      </c>
    </row>
    <row r="2" spans="1:9" x14ac:dyDescent="0.25">
      <c r="A2" s="276" t="s">
        <v>335</v>
      </c>
      <c r="B2" s="16"/>
      <c r="C2" s="274"/>
      <c r="D2" s="1" t="s">
        <v>325</v>
      </c>
      <c r="E2" s="1" t="s">
        <v>323</v>
      </c>
    </row>
    <row r="3" spans="1:9" ht="15" customHeight="1" x14ac:dyDescent="0.25">
      <c r="A3" s="276"/>
      <c r="B3" s="16"/>
      <c r="C3" s="16"/>
      <c r="D3" s="275" t="s">
        <v>341</v>
      </c>
      <c r="E3" s="275" t="s">
        <v>341</v>
      </c>
    </row>
    <row r="4" spans="1:9" ht="15" customHeight="1" x14ac:dyDescent="0.25"/>
    <row r="5" spans="1:9" ht="15.75" thickBot="1" x14ac:dyDescent="0.3">
      <c r="C5" s="281" t="s">
        <v>336</v>
      </c>
      <c r="D5" s="281"/>
      <c r="E5" s="281"/>
    </row>
    <row r="6" spans="1:9" ht="15.75" thickBot="1" x14ac:dyDescent="0.3">
      <c r="C6" s="284" t="s">
        <v>332</v>
      </c>
      <c r="D6" s="284"/>
      <c r="E6" s="288">
        <f>+E57</f>
        <v>120</v>
      </c>
    </row>
    <row r="7" spans="1:9" ht="15.75" thickBot="1" x14ac:dyDescent="0.3">
      <c r="C7" s="284" t="s">
        <v>331</v>
      </c>
      <c r="D7" s="284"/>
      <c r="E7" s="289">
        <f>+E57/E26</f>
        <v>6.1224489795918366E-2</v>
      </c>
    </row>
    <row r="8" spans="1:9" ht="15.75" thickBot="1" x14ac:dyDescent="0.3">
      <c r="C8" s="284" t="s">
        <v>334</v>
      </c>
      <c r="D8" s="284"/>
      <c r="E8" s="288">
        <f>+E26/B21</f>
        <v>40.833333333333336</v>
      </c>
    </row>
    <row r="9" spans="1:9" s="5" customFormat="1" ht="15" customHeight="1" thickBot="1" x14ac:dyDescent="0.3">
      <c r="A9"/>
      <c r="B9"/>
      <c r="C9" s="287" t="s">
        <v>333</v>
      </c>
      <c r="D9" s="287"/>
      <c r="E9" s="288">
        <f>+E55/B21</f>
        <v>38.333333333333336</v>
      </c>
      <c r="I9"/>
    </row>
    <row r="10" spans="1:9" s="5" customFormat="1" ht="15" customHeight="1" thickBot="1" x14ac:dyDescent="0.3">
      <c r="A10"/>
      <c r="B10"/>
      <c r="C10" s="287" t="s">
        <v>337</v>
      </c>
      <c r="D10" s="287"/>
      <c r="E10" s="285">
        <f>+B21</f>
        <v>48</v>
      </c>
      <c r="I10"/>
    </row>
    <row r="11" spans="1:9" s="5" customFormat="1" ht="15.75" thickBot="1" x14ac:dyDescent="0.3">
      <c r="A11"/>
      <c r="B11"/>
      <c r="C11" s="287" t="s">
        <v>338</v>
      </c>
      <c r="D11" s="287"/>
      <c r="E11" s="288">
        <f>+E57/B21</f>
        <v>2.5</v>
      </c>
      <c r="I11"/>
    </row>
    <row r="12" spans="1:9" s="5" customFormat="1" x14ac:dyDescent="0.25">
      <c r="A12"/>
      <c r="B12"/>
      <c r="C12"/>
      <c r="D12"/>
      <c r="E12"/>
      <c r="I12"/>
    </row>
    <row r="13" spans="1:9" x14ac:dyDescent="0.25">
      <c r="A13" s="259" t="s">
        <v>202</v>
      </c>
      <c r="B13" s="259"/>
      <c r="C13" s="259"/>
      <c r="D13" s="259"/>
      <c r="E13" s="259"/>
    </row>
    <row r="14" spans="1:9" x14ac:dyDescent="0.25">
      <c r="A14" s="278" t="s">
        <v>329</v>
      </c>
      <c r="B14" s="279" t="s">
        <v>268</v>
      </c>
      <c r="C14" s="279" t="s">
        <v>240</v>
      </c>
      <c r="D14" s="279"/>
      <c r="E14" s="279" t="s">
        <v>240</v>
      </c>
    </row>
    <row r="15" spans="1:9" x14ac:dyDescent="0.25">
      <c r="A15" s="277" t="s">
        <v>304</v>
      </c>
      <c r="B15" s="302">
        <v>8</v>
      </c>
      <c r="C15" s="10">
        <v>245</v>
      </c>
      <c r="E15" s="3">
        <f t="shared" ref="E15:E18" si="0">C15*B15</f>
        <v>1960</v>
      </c>
    </row>
    <row r="16" spans="1:9" x14ac:dyDescent="0.25">
      <c r="A16" s="265"/>
      <c r="B16" s="302"/>
      <c r="C16" s="10"/>
      <c r="E16" s="3"/>
    </row>
    <row r="17" spans="1:5" x14ac:dyDescent="0.25">
      <c r="A17" s="265"/>
      <c r="B17" s="302"/>
      <c r="C17" s="10"/>
      <c r="E17" s="3"/>
    </row>
    <row r="18" spans="1:5" x14ac:dyDescent="0.25">
      <c r="A18" s="265"/>
      <c r="B18" s="302"/>
      <c r="C18" s="10"/>
      <c r="E18" s="3"/>
    </row>
    <row r="19" spans="1:5" x14ac:dyDescent="0.25">
      <c r="A19" s="265"/>
      <c r="B19" s="302"/>
      <c r="C19" s="10"/>
      <c r="E19" s="3"/>
    </row>
    <row r="20" spans="1:5" s="3" customFormat="1" ht="6" customHeight="1" x14ac:dyDescent="0.25">
      <c r="B20" s="303"/>
    </row>
    <row r="21" spans="1:5" x14ac:dyDescent="0.25">
      <c r="A21" s="267" t="s">
        <v>330</v>
      </c>
      <c r="B21" s="304">
        <f>+SUM(B15:B20)*6</f>
        <v>48</v>
      </c>
      <c r="D21" s="268" t="s">
        <v>321</v>
      </c>
      <c r="E21" s="280">
        <f>SUBTOTAL(9,E15:E20)</f>
        <v>1960</v>
      </c>
    </row>
    <row r="22" spans="1:5" x14ac:dyDescent="0.25">
      <c r="A22" s="267"/>
      <c r="B22" s="290"/>
      <c r="D22" s="268"/>
      <c r="E22" s="13"/>
    </row>
    <row r="23" spans="1:5" x14ac:dyDescent="0.25">
      <c r="A23" s="265"/>
      <c r="B23" s="37"/>
      <c r="C23" s="10"/>
      <c r="E23" s="3"/>
    </row>
    <row r="24" spans="1:5" x14ac:dyDescent="0.25">
      <c r="A24" s="265"/>
      <c r="B24" s="37"/>
      <c r="C24" s="10"/>
      <c r="E24" s="3"/>
    </row>
    <row r="25" spans="1:5" ht="15.75" thickBot="1" x14ac:dyDescent="0.3">
      <c r="B25" s="2"/>
      <c r="C25" s="3"/>
      <c r="E25" s="3"/>
    </row>
    <row r="26" spans="1:5" ht="15.75" thickBot="1" x14ac:dyDescent="0.3">
      <c r="A26" s="260" t="s">
        <v>321</v>
      </c>
      <c r="B26" s="261"/>
      <c r="C26" s="262"/>
      <c r="D26" s="263"/>
      <c r="E26" s="264">
        <f>SUBTOTAL(9,E15:E25)</f>
        <v>1960</v>
      </c>
    </row>
    <row r="27" spans="1:5" s="5" customFormat="1" x14ac:dyDescent="0.25">
      <c r="A27"/>
      <c r="B27"/>
      <c r="C27"/>
      <c r="D27"/>
      <c r="E27"/>
    </row>
    <row r="28" spans="1:5" x14ac:dyDescent="0.25">
      <c r="A28" s="270" t="s">
        <v>224</v>
      </c>
      <c r="B28" s="270"/>
      <c r="C28" s="270"/>
      <c r="D28" s="270"/>
      <c r="E28" s="270"/>
    </row>
    <row r="30" spans="1:5" ht="15.75" x14ac:dyDescent="0.25">
      <c r="A30" s="271" t="s">
        <v>243</v>
      </c>
      <c r="B30" s="272"/>
      <c r="C30" s="272"/>
      <c r="D30" s="272" t="s">
        <v>244</v>
      </c>
      <c r="E30" s="272" t="s">
        <v>245</v>
      </c>
    </row>
    <row r="31" spans="1:5" x14ac:dyDescent="0.25">
      <c r="A31" t="s">
        <v>305</v>
      </c>
      <c r="C31" s="265"/>
      <c r="D31" s="38">
        <v>10</v>
      </c>
      <c r="E31" s="295">
        <v>60</v>
      </c>
    </row>
    <row r="32" spans="1:5" x14ac:dyDescent="0.25">
      <c r="A32" t="s">
        <v>274</v>
      </c>
      <c r="C32" s="265"/>
      <c r="D32" s="38">
        <v>10</v>
      </c>
      <c r="E32" s="295">
        <f>+D32*B21</f>
        <v>480</v>
      </c>
    </row>
    <row r="33" spans="1:5" x14ac:dyDescent="0.25">
      <c r="C33" s="265"/>
      <c r="D33" s="38"/>
      <c r="E33" s="10"/>
    </row>
    <row r="34" spans="1:5" x14ac:dyDescent="0.25">
      <c r="C34" s="268"/>
      <c r="D34" s="268" t="s">
        <v>251</v>
      </c>
      <c r="E34" s="296">
        <f>SUBTOTAL(9,E30:E33)</f>
        <v>540</v>
      </c>
    </row>
    <row r="36" spans="1:5" ht="15.75" x14ac:dyDescent="0.25">
      <c r="A36" s="271" t="s">
        <v>143</v>
      </c>
      <c r="B36" s="272" t="s">
        <v>246</v>
      </c>
      <c r="C36" s="272" t="s">
        <v>247</v>
      </c>
      <c r="D36" s="272" t="s">
        <v>248</v>
      </c>
      <c r="E36" s="272" t="s">
        <v>249</v>
      </c>
    </row>
    <row r="37" spans="1:5" x14ac:dyDescent="0.25">
      <c r="A37" t="s">
        <v>275</v>
      </c>
      <c r="B37" s="265">
        <v>97</v>
      </c>
      <c r="C37" s="265">
        <v>1</v>
      </c>
      <c r="D37" s="38">
        <v>10</v>
      </c>
      <c r="E37" s="297">
        <v>700</v>
      </c>
    </row>
    <row r="38" spans="1:5" x14ac:dyDescent="0.25">
      <c r="A38" t="s">
        <v>250</v>
      </c>
      <c r="B38" s="265"/>
      <c r="C38" s="265"/>
      <c r="D38" s="38"/>
      <c r="E38" s="266"/>
    </row>
    <row r="39" spans="1:5" x14ac:dyDescent="0.25">
      <c r="B39" s="265"/>
      <c r="C39" s="265"/>
      <c r="D39" s="38"/>
      <c r="E39" s="266"/>
    </row>
    <row r="40" spans="1:5" x14ac:dyDescent="0.25">
      <c r="B40" s="265"/>
      <c r="C40" s="268"/>
      <c r="D40" s="5" t="s">
        <v>320</v>
      </c>
      <c r="E40" s="296">
        <f>SUBTOTAL(9,E37:E39)</f>
        <v>700</v>
      </c>
    </row>
    <row r="42" spans="1:5" ht="15.75" x14ac:dyDescent="0.25">
      <c r="A42" s="271" t="s">
        <v>252</v>
      </c>
      <c r="B42" s="272" t="s">
        <v>253</v>
      </c>
      <c r="C42" s="272"/>
      <c r="D42" s="272" t="s">
        <v>254</v>
      </c>
      <c r="E42" s="272" t="s">
        <v>245</v>
      </c>
    </row>
    <row r="43" spans="1:5" x14ac:dyDescent="0.25">
      <c r="A43" t="s">
        <v>255</v>
      </c>
      <c r="B43" s="265">
        <v>1</v>
      </c>
      <c r="C43" s="265"/>
      <c r="D43" s="10">
        <v>500</v>
      </c>
      <c r="E43" s="291">
        <f>D43*B43</f>
        <v>500</v>
      </c>
    </row>
    <row r="44" spans="1:5" x14ac:dyDescent="0.25">
      <c r="A44" t="s">
        <v>256</v>
      </c>
      <c r="B44" s="265">
        <v>0</v>
      </c>
      <c r="C44" s="265"/>
      <c r="D44" s="10">
        <v>0</v>
      </c>
      <c r="E44" s="3">
        <f>D44*B44</f>
        <v>0</v>
      </c>
    </row>
    <row r="45" spans="1:5" x14ac:dyDescent="0.25">
      <c r="B45" s="265"/>
      <c r="C45" s="265"/>
      <c r="D45" s="10"/>
      <c r="E45" s="3"/>
    </row>
    <row r="46" spans="1:5" x14ac:dyDescent="0.25">
      <c r="B46" s="265"/>
      <c r="C46" s="265"/>
      <c r="D46" s="10"/>
      <c r="E46" s="3"/>
    </row>
    <row r="47" spans="1:5" x14ac:dyDescent="0.25">
      <c r="E47" s="3"/>
    </row>
    <row r="48" spans="1:5" x14ac:dyDescent="0.25">
      <c r="D48" s="5" t="s">
        <v>320</v>
      </c>
      <c r="E48" s="296">
        <f>SUBTOTAL(9,E43:E47)</f>
        <v>500</v>
      </c>
    </row>
    <row r="49" spans="1:5" ht="15.75" x14ac:dyDescent="0.25">
      <c r="A49" s="271" t="s">
        <v>258</v>
      </c>
      <c r="B49" s="273"/>
      <c r="C49" s="273"/>
      <c r="D49" s="273"/>
      <c r="E49" s="273"/>
    </row>
    <row r="50" spans="1:5" x14ac:dyDescent="0.25">
      <c r="A50" t="s">
        <v>259</v>
      </c>
      <c r="D50" s="10"/>
      <c r="E50" s="295">
        <v>100</v>
      </c>
    </row>
    <row r="51" spans="1:5" x14ac:dyDescent="0.25">
      <c r="D51" s="10"/>
      <c r="E51" s="295"/>
    </row>
    <row r="52" spans="1:5" x14ac:dyDescent="0.25">
      <c r="D52" s="10"/>
      <c r="E52" s="10"/>
    </row>
    <row r="53" spans="1:5" x14ac:dyDescent="0.25">
      <c r="D53" s="5" t="s">
        <v>320</v>
      </c>
      <c r="E53" s="296">
        <f>SUBTOTAL(9,E50:E52)</f>
        <v>100</v>
      </c>
    </row>
    <row r="54" spans="1:5" x14ac:dyDescent="0.25">
      <c r="E54" s="3"/>
    </row>
    <row r="55" spans="1:5" ht="15.75" x14ac:dyDescent="0.25">
      <c r="A55" s="269" t="s">
        <v>326</v>
      </c>
      <c r="B55" s="269"/>
      <c r="C55" s="269"/>
      <c r="D55" s="269"/>
      <c r="E55" s="298">
        <f>SUBTOTAL(9,E31:E54)</f>
        <v>1840</v>
      </c>
    </row>
    <row r="57" spans="1:5" x14ac:dyDescent="0.25">
      <c r="A57" s="274" t="s">
        <v>322</v>
      </c>
      <c r="B57" s="274"/>
      <c r="C57" s="274"/>
      <c r="D57" s="274"/>
      <c r="E57" s="299">
        <f>+E26-E55</f>
        <v>120</v>
      </c>
    </row>
    <row r="77" spans="1:7" ht="18.75" x14ac:dyDescent="0.3">
      <c r="A77" s="386" t="s">
        <v>378</v>
      </c>
      <c r="B77" s="386"/>
      <c r="C77" s="386"/>
      <c r="D77" s="386"/>
      <c r="E77" s="386"/>
    </row>
    <row r="78" spans="1:7" ht="45" x14ac:dyDescent="0.25">
      <c r="B78" s="384" t="s">
        <v>16</v>
      </c>
      <c r="C78" s="384" t="s">
        <v>18</v>
      </c>
      <c r="D78" s="384" t="s">
        <v>20</v>
      </c>
      <c r="E78" s="384" t="s">
        <v>24</v>
      </c>
      <c r="F78" s="384" t="s">
        <v>30</v>
      </c>
      <c r="G78" s="384" t="s">
        <v>3</v>
      </c>
    </row>
    <row r="79" spans="1:7" x14ac:dyDescent="0.25">
      <c r="A79" t="s">
        <v>373</v>
      </c>
      <c r="B79" s="10"/>
      <c r="C79" s="10"/>
      <c r="D79" s="10"/>
      <c r="E79" s="10"/>
    </row>
    <row r="80" spans="1:7" x14ac:dyDescent="0.25">
      <c r="A80" t="s">
        <v>349</v>
      </c>
      <c r="B80" s="10"/>
      <c r="C80" s="10"/>
      <c r="D80" s="10"/>
      <c r="E80" s="10"/>
    </row>
    <row r="81" spans="1:7" x14ac:dyDescent="0.25">
      <c r="A81" t="s">
        <v>324</v>
      </c>
      <c r="B81" s="10"/>
      <c r="C81" s="10"/>
      <c r="D81" s="10"/>
      <c r="E81" s="10"/>
    </row>
    <row r="82" spans="1:7" x14ac:dyDescent="0.25">
      <c r="A82" t="s">
        <v>339</v>
      </c>
      <c r="B82" s="10"/>
      <c r="C82" s="10"/>
      <c r="D82" s="10"/>
      <c r="E82" s="10"/>
    </row>
    <row r="83" spans="1:7" x14ac:dyDescent="0.25">
      <c r="A83" t="s">
        <v>227</v>
      </c>
      <c r="B83" s="10"/>
      <c r="C83" s="10"/>
      <c r="D83" s="10"/>
      <c r="E83" s="10"/>
    </row>
    <row r="84" spans="1:7" x14ac:dyDescent="0.25">
      <c r="A84" s="258" t="s">
        <v>341</v>
      </c>
      <c r="B84" s="10">
        <f>+E40</f>
        <v>700</v>
      </c>
      <c r="C84" s="10">
        <f>+E43</f>
        <v>500</v>
      </c>
      <c r="D84" s="10">
        <f>+E44</f>
        <v>0</v>
      </c>
      <c r="E84" s="10">
        <f>+E34</f>
        <v>540</v>
      </c>
      <c r="F84" s="35">
        <f>+E53</f>
        <v>100</v>
      </c>
    </row>
    <row r="85" spans="1:7" x14ac:dyDescent="0.25">
      <c r="A85" t="s">
        <v>362</v>
      </c>
      <c r="B85" s="10"/>
      <c r="C85" s="10"/>
      <c r="D85" s="10"/>
      <c r="E85" s="10"/>
    </row>
    <row r="86" spans="1:7" x14ac:dyDescent="0.25">
      <c r="A86" t="s">
        <v>344</v>
      </c>
      <c r="B86" s="10"/>
      <c r="C86" s="10"/>
      <c r="D86" s="10"/>
      <c r="E86" s="10"/>
    </row>
    <row r="87" spans="1:7" x14ac:dyDescent="0.25">
      <c r="A87" t="s">
        <v>346</v>
      </c>
      <c r="B87" s="10"/>
      <c r="C87" s="10"/>
      <c r="D87" s="10"/>
      <c r="E87" s="10"/>
    </row>
    <row r="88" spans="1:7" x14ac:dyDescent="0.25">
      <c r="A88" t="s">
        <v>374</v>
      </c>
      <c r="B88" s="10"/>
      <c r="C88" s="10"/>
      <c r="D88" s="10"/>
      <c r="E88" s="10"/>
    </row>
    <row r="89" spans="1:7" x14ac:dyDescent="0.25">
      <c r="A89" t="s">
        <v>296</v>
      </c>
      <c r="B89" s="10"/>
      <c r="C89" s="10"/>
      <c r="D89" s="10"/>
      <c r="E89" s="10"/>
      <c r="F89" s="35"/>
    </row>
    <row r="90" spans="1:7" x14ac:dyDescent="0.25">
      <c r="A90" t="s">
        <v>348</v>
      </c>
      <c r="B90" s="10"/>
      <c r="C90" s="10"/>
      <c r="D90" s="10"/>
      <c r="E90" s="10"/>
      <c r="F90" s="35"/>
    </row>
    <row r="92" spans="1:7" x14ac:dyDescent="0.25">
      <c r="B92" s="7">
        <f>SUM(B79:B91)</f>
        <v>700</v>
      </c>
      <c r="C92" s="7">
        <f t="shared" ref="C92:F92" si="1">SUM(C79:C91)</f>
        <v>500</v>
      </c>
      <c r="D92" s="7">
        <f t="shared" si="1"/>
        <v>0</v>
      </c>
      <c r="E92" s="7">
        <f t="shared" si="1"/>
        <v>540</v>
      </c>
      <c r="F92" s="7">
        <f t="shared" si="1"/>
        <v>100</v>
      </c>
      <c r="G92" s="7">
        <f>+SUM(B92:F92)</f>
        <v>1840</v>
      </c>
    </row>
    <row r="93" spans="1:7" x14ac:dyDescent="0.25">
      <c r="A93" t="s">
        <v>379</v>
      </c>
      <c r="B93" s="35"/>
      <c r="C93" s="7"/>
      <c r="D93" s="7"/>
      <c r="E93" s="35"/>
      <c r="F93" s="35"/>
      <c r="G93" s="35">
        <f>+G92-E55</f>
        <v>0</v>
      </c>
    </row>
  </sheetData>
  <mergeCells count="8">
    <mergeCell ref="A77:E77"/>
    <mergeCell ref="A2:A3"/>
    <mergeCell ref="C5:E5"/>
    <mergeCell ref="C6:D6"/>
    <mergeCell ref="C7:D7"/>
    <mergeCell ref="C8:D8"/>
    <mergeCell ref="A13:E13"/>
    <mergeCell ref="A28:E28"/>
  </mergeCells>
  <pageMargins left="0.7" right="0.7" top="0.75" bottom="0.2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B5615-1617-4DAA-9160-2158B1EA9AF3}">
  <sheetPr>
    <tabColor rgb="FFCDC5E5"/>
  </sheetPr>
  <dimension ref="A1:J93"/>
  <sheetViews>
    <sheetView showGridLines="0" workbookViewId="0"/>
  </sheetViews>
  <sheetFormatPr defaultColWidth="8.85546875" defaultRowHeight="15" x14ac:dyDescent="0.25"/>
  <cols>
    <col min="1" max="1" width="35" customWidth="1"/>
    <col min="2" max="2" width="15.28515625" bestFit="1" customWidth="1"/>
    <col min="4" max="4" width="15.42578125" bestFit="1" customWidth="1"/>
    <col min="5" max="5" width="11.42578125" bestFit="1" customWidth="1"/>
  </cols>
  <sheetData>
    <row r="1" spans="1:10" ht="28.5" x14ac:dyDescent="0.45">
      <c r="A1" s="286" t="s">
        <v>306</v>
      </c>
      <c r="B1" s="16"/>
      <c r="C1" s="16"/>
      <c r="D1" s="383" t="s">
        <v>223</v>
      </c>
      <c r="E1" s="300">
        <v>1</v>
      </c>
    </row>
    <row r="2" spans="1:10" x14ac:dyDescent="0.25">
      <c r="A2" s="276" t="s">
        <v>335</v>
      </c>
      <c r="B2" s="16"/>
      <c r="C2" s="274"/>
      <c r="D2" s="1" t="s">
        <v>325</v>
      </c>
      <c r="E2" s="1" t="s">
        <v>323</v>
      </c>
    </row>
    <row r="3" spans="1:10" ht="15" customHeight="1" x14ac:dyDescent="0.25">
      <c r="A3" s="276"/>
      <c r="B3" s="16"/>
      <c r="C3" s="16"/>
      <c r="D3" s="275" t="s">
        <v>341</v>
      </c>
      <c r="E3" s="275" t="s">
        <v>341</v>
      </c>
    </row>
    <row r="4" spans="1:10" ht="15" customHeight="1" x14ac:dyDescent="0.25"/>
    <row r="5" spans="1:10" ht="15.75" thickBot="1" x14ac:dyDescent="0.3">
      <c r="C5" s="281" t="s">
        <v>336</v>
      </c>
      <c r="D5" s="281"/>
      <c r="E5" s="281"/>
    </row>
    <row r="6" spans="1:10" ht="15.75" thickBot="1" x14ac:dyDescent="0.3">
      <c r="C6" s="284" t="s">
        <v>332</v>
      </c>
      <c r="D6" s="284"/>
      <c r="E6" s="288">
        <f>+E59</f>
        <v>0.19000000000050932</v>
      </c>
      <c r="J6" s="204"/>
    </row>
    <row r="7" spans="1:10" ht="15.75" thickBot="1" x14ac:dyDescent="0.3">
      <c r="C7" s="284" t="s">
        <v>331</v>
      </c>
      <c r="D7" s="284"/>
      <c r="E7" s="289">
        <f>+E59/E26</f>
        <v>2.1420518602086732E-5</v>
      </c>
    </row>
    <row r="8" spans="1:10" ht="15.75" thickBot="1" x14ac:dyDescent="0.3">
      <c r="C8" s="284" t="s">
        <v>334</v>
      </c>
      <c r="D8" s="284"/>
      <c r="E8" s="288">
        <f>+E26/B21</f>
        <v>94.361702127659569</v>
      </c>
    </row>
    <row r="9" spans="1:10" s="5" customFormat="1" ht="15" customHeight="1" thickBot="1" x14ac:dyDescent="0.3">
      <c r="A9"/>
      <c r="B9"/>
      <c r="C9" s="287" t="s">
        <v>333</v>
      </c>
      <c r="D9" s="287"/>
      <c r="E9" s="288">
        <f>+E57/B21</f>
        <v>94.359680851063828</v>
      </c>
      <c r="I9"/>
    </row>
    <row r="10" spans="1:10" s="5" customFormat="1" ht="15" customHeight="1" thickBot="1" x14ac:dyDescent="0.3">
      <c r="A10"/>
      <c r="B10"/>
      <c r="C10" s="287" t="s">
        <v>337</v>
      </c>
      <c r="D10" s="287"/>
      <c r="E10" s="285">
        <f>+B21</f>
        <v>94</v>
      </c>
      <c r="I10"/>
    </row>
    <row r="11" spans="1:10" s="5" customFormat="1" ht="15.75" thickBot="1" x14ac:dyDescent="0.3">
      <c r="A11"/>
      <c r="B11"/>
      <c r="C11" s="287" t="s">
        <v>338</v>
      </c>
      <c r="D11" s="287"/>
      <c r="E11" s="288">
        <f>+E59/B21</f>
        <v>2.0212765957500992E-3</v>
      </c>
      <c r="I11"/>
    </row>
    <row r="12" spans="1:10" s="5" customFormat="1" x14ac:dyDescent="0.25">
      <c r="A12"/>
      <c r="B12"/>
      <c r="C12"/>
      <c r="D12"/>
      <c r="E12"/>
      <c r="I12"/>
    </row>
    <row r="13" spans="1:10" x14ac:dyDescent="0.25">
      <c r="A13" s="259" t="s">
        <v>202</v>
      </c>
      <c r="B13" s="259"/>
      <c r="C13" s="259"/>
      <c r="D13" s="259"/>
      <c r="E13" s="259"/>
    </row>
    <row r="14" spans="1:10" x14ac:dyDescent="0.25">
      <c r="A14" s="278" t="s">
        <v>329</v>
      </c>
      <c r="B14" s="279" t="s">
        <v>239</v>
      </c>
      <c r="C14" s="279" t="s">
        <v>240</v>
      </c>
      <c r="D14" s="279"/>
      <c r="E14" s="279" t="s">
        <v>240</v>
      </c>
    </row>
    <row r="15" spans="1:10" x14ac:dyDescent="0.25">
      <c r="A15" s="277" t="s">
        <v>307</v>
      </c>
      <c r="B15" s="37">
        <v>21</v>
      </c>
      <c r="C15" s="10">
        <v>40</v>
      </c>
      <c r="E15" s="3">
        <f t="shared" ref="E15:E16" si="0">C15*B15</f>
        <v>840</v>
      </c>
    </row>
    <row r="16" spans="1:10" x14ac:dyDescent="0.25">
      <c r="A16" s="265" t="s">
        <v>308</v>
      </c>
      <c r="B16" s="37">
        <v>73</v>
      </c>
      <c r="C16" s="10">
        <v>110</v>
      </c>
      <c r="E16" s="3">
        <f t="shared" si="0"/>
        <v>8030</v>
      </c>
    </row>
    <row r="17" spans="1:5" x14ac:dyDescent="0.25">
      <c r="A17" s="265"/>
      <c r="B17" s="37"/>
      <c r="C17" s="10"/>
      <c r="E17" s="3"/>
    </row>
    <row r="18" spans="1:5" x14ac:dyDescent="0.25">
      <c r="A18" s="265"/>
      <c r="B18" s="37"/>
      <c r="C18" s="10"/>
      <c r="E18" s="3"/>
    </row>
    <row r="19" spans="1:5" x14ac:dyDescent="0.25">
      <c r="A19" s="265"/>
      <c r="B19" s="37"/>
      <c r="C19" s="10"/>
      <c r="E19" s="3"/>
    </row>
    <row r="20" spans="1:5" s="3" customFormat="1" ht="6" customHeight="1" x14ac:dyDescent="0.25"/>
    <row r="21" spans="1:5" x14ac:dyDescent="0.25">
      <c r="A21" s="267" t="s">
        <v>330</v>
      </c>
      <c r="B21" s="174">
        <f>+SUM(B15:B20)</f>
        <v>94</v>
      </c>
      <c r="D21" s="268" t="s">
        <v>321</v>
      </c>
      <c r="E21" s="280">
        <f>SUBTOTAL(9,E15:E20)</f>
        <v>8870</v>
      </c>
    </row>
    <row r="22" spans="1:5" x14ac:dyDescent="0.25">
      <c r="A22" s="267"/>
      <c r="B22" s="290"/>
      <c r="D22" s="268"/>
      <c r="E22" s="13"/>
    </row>
    <row r="23" spans="1:5" x14ac:dyDescent="0.25">
      <c r="A23" s="265"/>
      <c r="B23" s="37"/>
      <c r="C23" s="10"/>
      <c r="E23" s="3"/>
    </row>
    <row r="24" spans="1:5" x14ac:dyDescent="0.25">
      <c r="A24" s="265"/>
      <c r="B24" s="37"/>
      <c r="C24" s="10"/>
      <c r="E24" s="3"/>
    </row>
    <row r="25" spans="1:5" ht="15.75" thickBot="1" x14ac:dyDescent="0.3">
      <c r="B25" s="2"/>
      <c r="C25" s="3"/>
      <c r="E25" s="3"/>
    </row>
    <row r="26" spans="1:5" ht="15.75" thickBot="1" x14ac:dyDescent="0.3">
      <c r="A26" s="260" t="s">
        <v>321</v>
      </c>
      <c r="B26" s="261"/>
      <c r="C26" s="262"/>
      <c r="D26" s="263"/>
      <c r="E26" s="264">
        <f>SUBTOTAL(9,E15:E25)</f>
        <v>8870</v>
      </c>
    </row>
    <row r="27" spans="1:5" s="5" customFormat="1" x14ac:dyDescent="0.25">
      <c r="A27"/>
      <c r="B27"/>
      <c r="C27"/>
      <c r="D27"/>
      <c r="E27"/>
    </row>
    <row r="28" spans="1:5" x14ac:dyDescent="0.25">
      <c r="A28" s="270" t="s">
        <v>224</v>
      </c>
      <c r="B28" s="270"/>
      <c r="C28" s="270"/>
      <c r="D28" s="270"/>
      <c r="E28" s="270"/>
    </row>
    <row r="30" spans="1:5" ht="15.75" x14ac:dyDescent="0.25">
      <c r="A30" s="271" t="s">
        <v>243</v>
      </c>
      <c r="B30" s="272"/>
      <c r="C30" s="272"/>
      <c r="D30" s="272" t="s">
        <v>244</v>
      </c>
      <c r="E30" s="272" t="s">
        <v>245</v>
      </c>
    </row>
    <row r="31" spans="1:5" x14ac:dyDescent="0.25">
      <c r="A31" t="s">
        <v>274</v>
      </c>
      <c r="C31" s="265"/>
      <c r="D31" s="38">
        <v>11.115</v>
      </c>
      <c r="E31" s="295">
        <f>D31*B21</f>
        <v>1044.81</v>
      </c>
    </row>
    <row r="32" spans="1:5" x14ac:dyDescent="0.25">
      <c r="C32" s="265"/>
      <c r="D32" s="38"/>
      <c r="E32" s="10"/>
    </row>
    <row r="33" spans="1:5" x14ac:dyDescent="0.25">
      <c r="C33" s="265"/>
      <c r="D33" s="38"/>
      <c r="E33" s="10"/>
    </row>
    <row r="34" spans="1:5" x14ac:dyDescent="0.25">
      <c r="C34" s="268"/>
      <c r="D34" s="268" t="s">
        <v>251</v>
      </c>
      <c r="E34" s="296">
        <f>SUBTOTAL(9,E30:E33)</f>
        <v>1044.81</v>
      </c>
    </row>
    <row r="36" spans="1:5" ht="15.75" x14ac:dyDescent="0.25">
      <c r="A36" s="271" t="s">
        <v>143</v>
      </c>
      <c r="B36" s="272" t="s">
        <v>246</v>
      </c>
      <c r="C36" s="272" t="s">
        <v>247</v>
      </c>
      <c r="D36" s="272" t="s">
        <v>248</v>
      </c>
      <c r="E36" s="272" t="s">
        <v>249</v>
      </c>
    </row>
    <row r="37" spans="1:5" x14ac:dyDescent="0.25">
      <c r="A37" t="s">
        <v>250</v>
      </c>
      <c r="B37" s="265">
        <v>0</v>
      </c>
      <c r="C37" s="265">
        <v>0</v>
      </c>
      <c r="D37" s="38">
        <v>0</v>
      </c>
      <c r="E37" s="297">
        <v>0</v>
      </c>
    </row>
    <row r="38" spans="1:5" x14ac:dyDescent="0.25">
      <c r="B38" s="265"/>
      <c r="C38" s="265"/>
      <c r="D38" s="38"/>
      <c r="E38" s="266"/>
    </row>
    <row r="39" spans="1:5" x14ac:dyDescent="0.25">
      <c r="B39" s="265"/>
      <c r="C39" s="265"/>
      <c r="D39" s="38"/>
      <c r="E39" s="266"/>
    </row>
    <row r="40" spans="1:5" x14ac:dyDescent="0.25">
      <c r="B40" s="265"/>
      <c r="C40" s="268"/>
      <c r="D40" s="5" t="s">
        <v>320</v>
      </c>
      <c r="E40" s="296">
        <f>SUBTOTAL(9,E37:E39)</f>
        <v>0</v>
      </c>
    </row>
    <row r="42" spans="1:5" ht="15.75" x14ac:dyDescent="0.25">
      <c r="A42" s="271" t="s">
        <v>252</v>
      </c>
      <c r="B42" s="272" t="s">
        <v>253</v>
      </c>
      <c r="C42" s="272"/>
      <c r="D42" s="272" t="s">
        <v>254</v>
      </c>
      <c r="E42" s="272" t="s">
        <v>245</v>
      </c>
    </row>
    <row r="43" spans="1:5" x14ac:dyDescent="0.25">
      <c r="A43" t="s">
        <v>309</v>
      </c>
      <c r="B43" s="265">
        <v>1</v>
      </c>
      <c r="C43" s="265"/>
      <c r="D43" s="10">
        <v>5400</v>
      </c>
      <c r="E43" s="291">
        <f>D43*B43</f>
        <v>5400</v>
      </c>
    </row>
    <row r="44" spans="1:5" x14ac:dyDescent="0.25">
      <c r="A44" t="s">
        <v>310</v>
      </c>
      <c r="B44" s="265">
        <v>1</v>
      </c>
      <c r="C44" s="265"/>
      <c r="D44" s="10">
        <v>600</v>
      </c>
      <c r="E44" s="3">
        <f>D44*B44</f>
        <v>600</v>
      </c>
    </row>
    <row r="45" spans="1:5" x14ac:dyDescent="0.25">
      <c r="A45" t="s">
        <v>311</v>
      </c>
      <c r="B45" s="265">
        <v>1</v>
      </c>
      <c r="C45" s="265"/>
      <c r="D45" s="10">
        <v>600</v>
      </c>
      <c r="E45" s="3">
        <f>D45*B45</f>
        <v>600</v>
      </c>
    </row>
    <row r="46" spans="1:5" x14ac:dyDescent="0.25">
      <c r="A46" t="s">
        <v>312</v>
      </c>
      <c r="B46" s="265">
        <v>1</v>
      </c>
      <c r="C46" s="265"/>
      <c r="D46" s="10">
        <v>400</v>
      </c>
      <c r="E46" s="3">
        <f t="shared" ref="E46:E47" si="1">D46*B46</f>
        <v>400</v>
      </c>
    </row>
    <row r="47" spans="1:5" x14ac:dyDescent="0.25">
      <c r="A47" t="s">
        <v>313</v>
      </c>
      <c r="B47" s="265">
        <v>1</v>
      </c>
      <c r="C47" s="265"/>
      <c r="D47" s="10">
        <v>75</v>
      </c>
      <c r="E47" s="3">
        <f t="shared" si="1"/>
        <v>75</v>
      </c>
    </row>
    <row r="48" spans="1:5" x14ac:dyDescent="0.25">
      <c r="B48" s="265"/>
      <c r="C48" s="265"/>
      <c r="D48" s="10"/>
      <c r="E48" s="3"/>
    </row>
    <row r="49" spans="1:5" x14ac:dyDescent="0.25">
      <c r="E49" s="3"/>
    </row>
    <row r="50" spans="1:5" x14ac:dyDescent="0.25">
      <c r="D50" s="5" t="s">
        <v>320</v>
      </c>
      <c r="E50" s="296">
        <f>SUBTOTAL(9,E43:E49)</f>
        <v>7075</v>
      </c>
    </row>
    <row r="51" spans="1:5" ht="15.75" x14ac:dyDescent="0.25">
      <c r="A51" s="271" t="s">
        <v>258</v>
      </c>
      <c r="B51" s="273"/>
      <c r="C51" s="273"/>
      <c r="D51" s="273"/>
      <c r="E51" s="273"/>
    </row>
    <row r="52" spans="1:5" x14ac:dyDescent="0.25">
      <c r="A52" t="s">
        <v>259</v>
      </c>
      <c r="D52" s="10"/>
      <c r="E52" s="295">
        <v>750</v>
      </c>
    </row>
    <row r="53" spans="1:5" x14ac:dyDescent="0.25">
      <c r="D53" s="10"/>
      <c r="E53" s="295"/>
    </row>
    <row r="54" spans="1:5" x14ac:dyDescent="0.25">
      <c r="D54" s="10"/>
      <c r="E54" s="10"/>
    </row>
    <row r="55" spans="1:5" x14ac:dyDescent="0.25">
      <c r="D55" s="5" t="s">
        <v>320</v>
      </c>
      <c r="E55" s="296">
        <f>SUBTOTAL(9,E52:E54)</f>
        <v>750</v>
      </c>
    </row>
    <row r="56" spans="1:5" x14ac:dyDescent="0.25">
      <c r="E56" s="3"/>
    </row>
    <row r="57" spans="1:5" ht="15.75" x14ac:dyDescent="0.25">
      <c r="A57" s="269" t="s">
        <v>326</v>
      </c>
      <c r="B57" s="269"/>
      <c r="C57" s="269"/>
      <c r="D57" s="269"/>
      <c r="E57" s="298">
        <f>SUBTOTAL(9,E31:E56)</f>
        <v>8869.81</v>
      </c>
    </row>
    <row r="59" spans="1:5" x14ac:dyDescent="0.25">
      <c r="A59" s="274" t="s">
        <v>322</v>
      </c>
      <c r="B59" s="274"/>
      <c r="C59" s="274"/>
      <c r="D59" s="274"/>
      <c r="E59" s="299">
        <f>+E26-E57</f>
        <v>0.19000000000050932</v>
      </c>
    </row>
    <row r="77" spans="1:7" ht="18.75" x14ac:dyDescent="0.3">
      <c r="A77" s="386" t="s">
        <v>378</v>
      </c>
      <c r="B77" s="386"/>
      <c r="C77" s="386"/>
      <c r="D77" s="386"/>
      <c r="E77" s="386"/>
    </row>
    <row r="78" spans="1:7" ht="45" x14ac:dyDescent="0.25">
      <c r="B78" s="384" t="s">
        <v>16</v>
      </c>
      <c r="C78" s="384" t="s">
        <v>18</v>
      </c>
      <c r="D78" s="384" t="s">
        <v>20</v>
      </c>
      <c r="E78" s="384" t="s">
        <v>24</v>
      </c>
      <c r="F78" s="384" t="s">
        <v>30</v>
      </c>
      <c r="G78" s="384" t="s">
        <v>3</v>
      </c>
    </row>
    <row r="79" spans="1:7" x14ac:dyDescent="0.25">
      <c r="A79" t="s">
        <v>373</v>
      </c>
      <c r="B79" s="10"/>
      <c r="C79" s="10"/>
      <c r="D79" s="10"/>
      <c r="E79" s="10"/>
    </row>
    <row r="80" spans="1:7" x14ac:dyDescent="0.25">
      <c r="A80" t="s">
        <v>349</v>
      </c>
      <c r="B80" s="10"/>
      <c r="C80" s="10"/>
      <c r="D80" s="10"/>
      <c r="E80" s="10"/>
    </row>
    <row r="81" spans="1:7" x14ac:dyDescent="0.25">
      <c r="A81" t="s">
        <v>324</v>
      </c>
      <c r="B81" s="10"/>
      <c r="C81" s="10"/>
      <c r="D81" s="10"/>
      <c r="E81" s="10"/>
    </row>
    <row r="82" spans="1:7" x14ac:dyDescent="0.25">
      <c r="A82" t="s">
        <v>339</v>
      </c>
      <c r="B82" s="10"/>
      <c r="C82" s="10"/>
      <c r="D82" s="10"/>
      <c r="E82" s="10"/>
    </row>
    <row r="83" spans="1:7" x14ac:dyDescent="0.25">
      <c r="A83" t="s">
        <v>227</v>
      </c>
      <c r="B83" s="10"/>
      <c r="C83" s="10"/>
      <c r="D83" s="10"/>
      <c r="E83" s="10"/>
    </row>
    <row r="84" spans="1:7" x14ac:dyDescent="0.25">
      <c r="A84" s="258" t="s">
        <v>341</v>
      </c>
      <c r="B84" s="10">
        <f>+E40</f>
        <v>0</v>
      </c>
      <c r="C84" s="10">
        <f>+E50</f>
        <v>7075</v>
      </c>
      <c r="D84" s="10">
        <f>+E48</f>
        <v>0</v>
      </c>
      <c r="E84" s="10">
        <f>+E34</f>
        <v>1044.81</v>
      </c>
      <c r="F84" s="35">
        <f>+E55</f>
        <v>750</v>
      </c>
    </row>
    <row r="85" spans="1:7" x14ac:dyDescent="0.25">
      <c r="A85" t="s">
        <v>362</v>
      </c>
      <c r="B85" s="10"/>
      <c r="C85" s="10"/>
      <c r="D85" s="10"/>
      <c r="E85" s="10"/>
    </row>
    <row r="86" spans="1:7" x14ac:dyDescent="0.25">
      <c r="A86" t="s">
        <v>344</v>
      </c>
      <c r="B86" s="10"/>
      <c r="C86" s="10"/>
      <c r="D86" s="10"/>
      <c r="E86" s="10"/>
    </row>
    <row r="87" spans="1:7" x14ac:dyDescent="0.25">
      <c r="A87" t="s">
        <v>346</v>
      </c>
      <c r="B87" s="10"/>
      <c r="C87" s="10"/>
      <c r="D87" s="10"/>
      <c r="E87" s="10"/>
    </row>
    <row r="88" spans="1:7" x14ac:dyDescent="0.25">
      <c r="A88" t="s">
        <v>374</v>
      </c>
      <c r="B88" s="10"/>
      <c r="C88" s="10"/>
      <c r="D88" s="10"/>
      <c r="E88" s="10"/>
    </row>
    <row r="89" spans="1:7" x14ac:dyDescent="0.25">
      <c r="A89" t="s">
        <v>296</v>
      </c>
      <c r="B89" s="10"/>
      <c r="C89" s="10"/>
      <c r="D89" s="10"/>
      <c r="E89" s="10"/>
      <c r="F89" s="35"/>
    </row>
    <row r="90" spans="1:7" x14ac:dyDescent="0.25">
      <c r="A90" t="s">
        <v>348</v>
      </c>
      <c r="B90" s="10"/>
      <c r="C90" s="10"/>
      <c r="D90" s="10"/>
      <c r="E90" s="10"/>
      <c r="F90" s="35"/>
    </row>
    <row r="92" spans="1:7" x14ac:dyDescent="0.25">
      <c r="B92" s="7">
        <f>SUM(B79:B91)</f>
        <v>0</v>
      </c>
      <c r="C92" s="7">
        <f t="shared" ref="C92:F92" si="2">SUM(C79:C91)</f>
        <v>7075</v>
      </c>
      <c r="D92" s="7">
        <f t="shared" si="2"/>
        <v>0</v>
      </c>
      <c r="E92" s="7">
        <f t="shared" si="2"/>
        <v>1044.81</v>
      </c>
      <c r="F92" s="7">
        <f t="shared" si="2"/>
        <v>750</v>
      </c>
      <c r="G92" s="7">
        <f>+SUM(B92:F92)</f>
        <v>8869.81</v>
      </c>
    </row>
    <row r="93" spans="1:7" x14ac:dyDescent="0.25">
      <c r="A93" t="s">
        <v>379</v>
      </c>
      <c r="B93" s="35"/>
      <c r="C93" s="7"/>
      <c r="D93" s="7"/>
      <c r="E93" s="35"/>
      <c r="F93" s="35"/>
      <c r="G93" s="35">
        <f>+G92-E57</f>
        <v>0</v>
      </c>
    </row>
  </sheetData>
  <mergeCells count="8">
    <mergeCell ref="A77:E77"/>
    <mergeCell ref="A2:A3"/>
    <mergeCell ref="C5:E5"/>
    <mergeCell ref="C6:D6"/>
    <mergeCell ref="C7:D7"/>
    <mergeCell ref="C8:D8"/>
    <mergeCell ref="A13:E13"/>
    <mergeCell ref="A28:E28"/>
  </mergeCells>
  <pageMargins left="0.7" right="0.7" top="0.75" bottom="0.2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2D563-7B2C-4055-88F9-2651DFDBA436}">
  <sheetPr>
    <tabColor rgb="FFCDC5E5"/>
  </sheetPr>
  <dimension ref="A1:I93"/>
  <sheetViews>
    <sheetView showGridLines="0" zoomScale="130" zoomScaleNormal="130" workbookViewId="0">
      <selection activeCell="E26" sqref="E26"/>
    </sheetView>
  </sheetViews>
  <sheetFormatPr defaultColWidth="8.85546875" defaultRowHeight="15" x14ac:dyDescent="0.25"/>
  <cols>
    <col min="1" max="1" width="35" customWidth="1"/>
    <col min="2" max="2" width="15.28515625" bestFit="1" customWidth="1"/>
    <col min="4" max="4" width="15.42578125" bestFit="1" customWidth="1"/>
    <col min="5" max="5" width="11.42578125" bestFit="1" customWidth="1"/>
    <col min="6" max="6" width="10.5703125" bestFit="1" customWidth="1"/>
  </cols>
  <sheetData>
    <row r="1" spans="1:9" ht="28.5" x14ac:dyDescent="0.45">
      <c r="A1" s="286" t="s">
        <v>314</v>
      </c>
      <c r="B1" s="16"/>
      <c r="C1" s="16"/>
      <c r="D1" s="383" t="s">
        <v>223</v>
      </c>
      <c r="E1" s="300">
        <v>3</v>
      </c>
    </row>
    <row r="2" spans="1:9" x14ac:dyDescent="0.25">
      <c r="A2" s="276" t="s">
        <v>335</v>
      </c>
      <c r="B2" s="16"/>
      <c r="C2" s="274"/>
      <c r="D2" s="1" t="s">
        <v>325</v>
      </c>
      <c r="E2" s="1" t="s">
        <v>323</v>
      </c>
      <c r="I2" t="s">
        <v>373</v>
      </c>
    </row>
    <row r="3" spans="1:9" ht="15" customHeight="1" x14ac:dyDescent="0.25">
      <c r="A3" s="276"/>
      <c r="B3" s="16"/>
      <c r="C3" s="16"/>
      <c r="D3" s="275" t="s">
        <v>362</v>
      </c>
      <c r="E3" s="275" t="s">
        <v>346</v>
      </c>
      <c r="I3" t="s">
        <v>349</v>
      </c>
    </row>
    <row r="4" spans="1:9" ht="15" customHeight="1" x14ac:dyDescent="0.25">
      <c r="I4" t="s">
        <v>324</v>
      </c>
    </row>
    <row r="5" spans="1:9" ht="15.75" thickBot="1" x14ac:dyDescent="0.3">
      <c r="C5" s="281" t="s">
        <v>336</v>
      </c>
      <c r="D5" s="281"/>
      <c r="E5" s="281"/>
      <c r="I5" t="s">
        <v>339</v>
      </c>
    </row>
    <row r="6" spans="1:9" ht="15.75" thickBot="1" x14ac:dyDescent="0.3">
      <c r="C6" s="284" t="s">
        <v>332</v>
      </c>
      <c r="D6" s="284"/>
      <c r="E6" s="288">
        <f>+E58</f>
        <v>-1573</v>
      </c>
      <c r="I6" t="s">
        <v>227</v>
      </c>
    </row>
    <row r="7" spans="1:9" ht="15.75" thickBot="1" x14ac:dyDescent="0.3">
      <c r="C7" s="284" t="s">
        <v>331</v>
      </c>
      <c r="D7" s="284"/>
      <c r="E7" s="289">
        <f>+E58/E26</f>
        <v>-0.27050730868443679</v>
      </c>
      <c r="I7" t="s">
        <v>341</v>
      </c>
    </row>
    <row r="8" spans="1:9" ht="15.75" thickBot="1" x14ac:dyDescent="0.3">
      <c r="C8" s="284" t="s">
        <v>334</v>
      </c>
      <c r="D8" s="284"/>
      <c r="E8" s="288">
        <f>+E26/B21</f>
        <v>79.657534246575338</v>
      </c>
      <c r="I8" t="s">
        <v>362</v>
      </c>
    </row>
    <row r="9" spans="1:9" s="5" customFormat="1" ht="15" customHeight="1" thickBot="1" x14ac:dyDescent="0.3">
      <c r="A9"/>
      <c r="B9"/>
      <c r="C9" s="287" t="s">
        <v>333</v>
      </c>
      <c r="D9" s="287"/>
      <c r="E9" s="288">
        <f>+E56/B21</f>
        <v>101.20547945205479</v>
      </c>
      <c r="I9" t="s">
        <v>344</v>
      </c>
    </row>
    <row r="10" spans="1:9" s="5" customFormat="1" ht="15" customHeight="1" thickBot="1" x14ac:dyDescent="0.3">
      <c r="A10"/>
      <c r="B10"/>
      <c r="C10" s="287" t="s">
        <v>337</v>
      </c>
      <c r="D10" s="287"/>
      <c r="E10" s="285">
        <f>+B21</f>
        <v>73</v>
      </c>
      <c r="I10" t="s">
        <v>346</v>
      </c>
    </row>
    <row r="11" spans="1:9" s="5" customFormat="1" ht="15.75" thickBot="1" x14ac:dyDescent="0.3">
      <c r="A11"/>
      <c r="B11"/>
      <c r="C11" s="287" t="s">
        <v>338</v>
      </c>
      <c r="D11" s="287"/>
      <c r="E11" s="288">
        <f>+E58/B21</f>
        <v>-21.547945205479451</v>
      </c>
      <c r="I11" t="s">
        <v>374</v>
      </c>
    </row>
    <row r="12" spans="1:9" s="5" customFormat="1" x14ac:dyDescent="0.25">
      <c r="A12"/>
      <c r="B12"/>
      <c r="C12"/>
      <c r="D12"/>
      <c r="E12"/>
      <c r="I12" t="s">
        <v>296</v>
      </c>
    </row>
    <row r="13" spans="1:9" x14ac:dyDescent="0.25">
      <c r="A13" s="259" t="s">
        <v>202</v>
      </c>
      <c r="B13" s="259"/>
      <c r="C13" s="259"/>
      <c r="D13" s="259"/>
      <c r="E13" s="259"/>
      <c r="I13" t="s">
        <v>348</v>
      </c>
    </row>
    <row r="14" spans="1:9" x14ac:dyDescent="0.25">
      <c r="A14" s="278" t="s">
        <v>329</v>
      </c>
      <c r="B14" s="279" t="s">
        <v>239</v>
      </c>
      <c r="C14" s="279" t="s">
        <v>240</v>
      </c>
      <c r="D14" s="279"/>
      <c r="E14" s="279" t="s">
        <v>240</v>
      </c>
    </row>
    <row r="15" spans="1:9" x14ac:dyDescent="0.25">
      <c r="A15" s="277" t="s">
        <v>360</v>
      </c>
      <c r="B15" s="37">
        <v>46</v>
      </c>
      <c r="C15" s="10">
        <v>100</v>
      </c>
      <c r="E15" s="3">
        <f t="shared" ref="E15:E16" si="0">C15*B15</f>
        <v>4600</v>
      </c>
    </row>
    <row r="16" spans="1:9" x14ac:dyDescent="0.25">
      <c r="A16" s="265" t="s">
        <v>361</v>
      </c>
      <c r="B16" s="37">
        <v>27</v>
      </c>
      <c r="C16" s="10">
        <v>45</v>
      </c>
      <c r="E16" s="3">
        <f t="shared" si="0"/>
        <v>1215</v>
      </c>
    </row>
    <row r="17" spans="1:5" x14ac:dyDescent="0.25">
      <c r="A17" s="265"/>
      <c r="B17" s="37"/>
      <c r="C17" s="10"/>
      <c r="E17" s="3"/>
    </row>
    <row r="18" spans="1:5" x14ac:dyDescent="0.25">
      <c r="A18" s="265"/>
      <c r="B18" s="37"/>
      <c r="C18" s="10"/>
      <c r="E18" s="3"/>
    </row>
    <row r="19" spans="1:5" x14ac:dyDescent="0.25">
      <c r="A19" s="265"/>
      <c r="B19" s="37"/>
      <c r="C19" s="10"/>
      <c r="E19" s="3"/>
    </row>
    <row r="20" spans="1:5" s="3" customFormat="1" ht="6" customHeight="1" x14ac:dyDescent="0.25"/>
    <row r="21" spans="1:5" x14ac:dyDescent="0.25">
      <c r="A21" s="267" t="s">
        <v>330</v>
      </c>
      <c r="B21" s="174">
        <f>+SUM(B15:B20)</f>
        <v>73</v>
      </c>
      <c r="D21" s="268" t="s">
        <v>321</v>
      </c>
      <c r="E21" s="280">
        <f>SUBTOTAL(9,E15:E20)</f>
        <v>5815</v>
      </c>
    </row>
    <row r="22" spans="1:5" x14ac:dyDescent="0.25">
      <c r="A22" s="267"/>
      <c r="B22" s="290"/>
      <c r="D22" s="268"/>
      <c r="E22" s="13"/>
    </row>
    <row r="23" spans="1:5" x14ac:dyDescent="0.25">
      <c r="A23" s="265"/>
      <c r="B23" s="37"/>
      <c r="C23" s="10"/>
      <c r="E23" s="3"/>
    </row>
    <row r="24" spans="1:5" x14ac:dyDescent="0.25">
      <c r="A24" s="265"/>
      <c r="B24" s="37"/>
      <c r="C24" s="10"/>
      <c r="E24" s="3"/>
    </row>
    <row r="25" spans="1:5" ht="15.75" thickBot="1" x14ac:dyDescent="0.3">
      <c r="B25" s="2"/>
      <c r="C25" s="3"/>
      <c r="E25" s="3"/>
    </row>
    <row r="26" spans="1:5" ht="15.75" thickBot="1" x14ac:dyDescent="0.3">
      <c r="A26" s="260" t="s">
        <v>321</v>
      </c>
      <c r="B26" s="261"/>
      <c r="C26" s="262"/>
      <c r="D26" s="263"/>
      <c r="E26" s="264">
        <f>SUBTOTAL(9,E15:E25)</f>
        <v>5815</v>
      </c>
    </row>
    <row r="27" spans="1:5" s="5" customFormat="1" x14ac:dyDescent="0.25">
      <c r="A27"/>
      <c r="B27"/>
      <c r="C27"/>
      <c r="D27"/>
      <c r="E27"/>
    </row>
    <row r="28" spans="1:5" x14ac:dyDescent="0.25">
      <c r="A28" s="270" t="s">
        <v>224</v>
      </c>
      <c r="B28" s="270"/>
      <c r="C28" s="270"/>
      <c r="D28" s="270"/>
      <c r="E28" s="270"/>
    </row>
    <row r="30" spans="1:5" ht="15.75" x14ac:dyDescent="0.25">
      <c r="A30" s="271" t="s">
        <v>243</v>
      </c>
      <c r="B30" s="272"/>
      <c r="C30" s="272"/>
      <c r="D30" s="272" t="s">
        <v>244</v>
      </c>
      <c r="E30" s="272" t="s">
        <v>245</v>
      </c>
    </row>
    <row r="31" spans="1:5" x14ac:dyDescent="0.25">
      <c r="A31" t="s">
        <v>243</v>
      </c>
      <c r="C31" s="265"/>
      <c r="D31" s="38"/>
      <c r="E31" s="295">
        <v>2088</v>
      </c>
    </row>
    <row r="32" spans="1:5" x14ac:dyDescent="0.25">
      <c r="A32" t="s">
        <v>315</v>
      </c>
      <c r="C32" s="265"/>
      <c r="D32" s="38"/>
      <c r="E32" s="10">
        <v>250</v>
      </c>
    </row>
    <row r="33" spans="1:5" x14ac:dyDescent="0.25">
      <c r="C33" s="265"/>
      <c r="D33" s="38"/>
      <c r="E33" s="10"/>
    </row>
    <row r="34" spans="1:5" x14ac:dyDescent="0.25">
      <c r="C34" s="268"/>
      <c r="D34" s="268" t="s">
        <v>251</v>
      </c>
      <c r="E34" s="296">
        <f>SUBTOTAL(9,E30:E33)</f>
        <v>2338</v>
      </c>
    </row>
    <row r="36" spans="1:5" ht="15.75" x14ac:dyDescent="0.25">
      <c r="A36" s="271" t="s">
        <v>143</v>
      </c>
      <c r="B36" s="272" t="s">
        <v>246</v>
      </c>
      <c r="C36" s="272" t="s">
        <v>247</v>
      </c>
      <c r="D36" s="272" t="s">
        <v>248</v>
      </c>
      <c r="E36" s="272" t="s">
        <v>249</v>
      </c>
    </row>
    <row r="37" spans="1:5" x14ac:dyDescent="0.25">
      <c r="A37" t="s">
        <v>275</v>
      </c>
      <c r="B37" s="265">
        <v>0</v>
      </c>
      <c r="C37" s="265">
        <v>0</v>
      </c>
      <c r="D37" s="38">
        <v>0</v>
      </c>
      <c r="E37" s="297">
        <v>1550</v>
      </c>
    </row>
    <row r="38" spans="1:5" x14ac:dyDescent="0.25">
      <c r="A38" t="s">
        <v>250</v>
      </c>
      <c r="B38" s="265"/>
      <c r="C38" s="265">
        <v>1</v>
      </c>
      <c r="D38" s="38">
        <v>35</v>
      </c>
      <c r="E38" s="266"/>
    </row>
    <row r="39" spans="1:5" x14ac:dyDescent="0.25">
      <c r="B39" s="265"/>
      <c r="C39" s="265"/>
      <c r="D39" s="38"/>
      <c r="E39" s="266"/>
    </row>
    <row r="40" spans="1:5" x14ac:dyDescent="0.25">
      <c r="B40" s="265"/>
      <c r="C40" s="268"/>
      <c r="D40" s="5" t="s">
        <v>320</v>
      </c>
      <c r="E40" s="296">
        <f>SUBTOTAL(9,E37:E39)</f>
        <v>1550</v>
      </c>
    </row>
    <row r="42" spans="1:5" ht="15.75" x14ac:dyDescent="0.25">
      <c r="A42" s="271" t="s">
        <v>252</v>
      </c>
      <c r="B42" s="272" t="s">
        <v>253</v>
      </c>
      <c r="C42" s="272"/>
      <c r="D42" s="272" t="s">
        <v>254</v>
      </c>
      <c r="E42" s="272" t="s">
        <v>245</v>
      </c>
    </row>
    <row r="43" spans="1:5" x14ac:dyDescent="0.25">
      <c r="A43" t="s">
        <v>255</v>
      </c>
      <c r="B43" s="265">
        <v>1</v>
      </c>
      <c r="C43" s="265"/>
      <c r="D43" s="10">
        <v>1500</v>
      </c>
      <c r="E43" s="291">
        <f>D43*B43</f>
        <v>1500</v>
      </c>
    </row>
    <row r="44" spans="1:5" x14ac:dyDescent="0.25">
      <c r="A44" t="s">
        <v>256</v>
      </c>
      <c r="B44" s="265">
        <v>0</v>
      </c>
      <c r="C44" s="265"/>
      <c r="D44" s="10">
        <v>0</v>
      </c>
      <c r="E44" s="3">
        <f>D44*B44</f>
        <v>0</v>
      </c>
    </row>
    <row r="45" spans="1:5" x14ac:dyDescent="0.25">
      <c r="A45" t="s">
        <v>316</v>
      </c>
      <c r="B45" s="265">
        <v>1</v>
      </c>
      <c r="C45" s="265"/>
      <c r="D45" s="10">
        <v>600</v>
      </c>
      <c r="E45" s="3">
        <f>D45*B45</f>
        <v>600</v>
      </c>
    </row>
    <row r="46" spans="1:5" x14ac:dyDescent="0.25">
      <c r="B46" s="265"/>
      <c r="C46" s="265"/>
      <c r="D46" s="10"/>
      <c r="E46" s="3"/>
    </row>
    <row r="47" spans="1:5" x14ac:dyDescent="0.25">
      <c r="E47" s="3"/>
    </row>
    <row r="48" spans="1:5" x14ac:dyDescent="0.25">
      <c r="D48" s="5" t="s">
        <v>320</v>
      </c>
      <c r="E48" s="296">
        <f>SUBTOTAL(9,E43:E47)</f>
        <v>2100</v>
      </c>
    </row>
    <row r="49" spans="1:5" ht="15.75" x14ac:dyDescent="0.25">
      <c r="A49" s="271" t="s">
        <v>258</v>
      </c>
      <c r="B49" s="273"/>
      <c r="C49" s="273"/>
      <c r="D49" s="273"/>
      <c r="E49" s="273"/>
    </row>
    <row r="50" spans="1:5" x14ac:dyDescent="0.25">
      <c r="A50" t="s">
        <v>295</v>
      </c>
      <c r="D50" s="10"/>
      <c r="E50" s="295">
        <v>400</v>
      </c>
    </row>
    <row r="51" spans="1:5" x14ac:dyDescent="0.25">
      <c r="A51" t="s">
        <v>317</v>
      </c>
      <c r="D51" s="10"/>
      <c r="E51" s="295">
        <v>500</v>
      </c>
    </row>
    <row r="52" spans="1:5" x14ac:dyDescent="0.25">
      <c r="A52" t="s">
        <v>318</v>
      </c>
      <c r="D52" s="10"/>
      <c r="E52" s="295">
        <v>500</v>
      </c>
    </row>
    <row r="53" spans="1:5" x14ac:dyDescent="0.25">
      <c r="D53" s="10"/>
      <c r="E53" s="10"/>
    </row>
    <row r="54" spans="1:5" x14ac:dyDescent="0.25">
      <c r="D54" s="5" t="s">
        <v>320</v>
      </c>
      <c r="E54" s="296">
        <f>SUBTOTAL(9,E50:E52)</f>
        <v>1400</v>
      </c>
    </row>
    <row r="55" spans="1:5" x14ac:dyDescent="0.25">
      <c r="E55" s="3"/>
    </row>
    <row r="56" spans="1:5" ht="15.75" x14ac:dyDescent="0.25">
      <c r="A56" s="269" t="s">
        <v>326</v>
      </c>
      <c r="B56" s="269"/>
      <c r="C56" s="269"/>
      <c r="D56" s="269"/>
      <c r="E56" s="298">
        <f>SUBTOTAL(9,E31:E55)</f>
        <v>7388</v>
      </c>
    </row>
    <row r="58" spans="1:5" x14ac:dyDescent="0.25">
      <c r="A58" s="274" t="s">
        <v>322</v>
      </c>
      <c r="B58" s="274"/>
      <c r="C58" s="274"/>
      <c r="D58" s="274"/>
      <c r="E58" s="299">
        <f>+E26-E56</f>
        <v>-1573</v>
      </c>
    </row>
    <row r="77" spans="1:7" ht="18.75" x14ac:dyDescent="0.3">
      <c r="A77" s="386" t="s">
        <v>378</v>
      </c>
      <c r="B77" s="386"/>
      <c r="C77" s="386"/>
      <c r="D77" s="386"/>
      <c r="E77" s="386"/>
    </row>
    <row r="78" spans="1:7" ht="45" x14ac:dyDescent="0.25">
      <c r="B78" s="384" t="s">
        <v>16</v>
      </c>
      <c r="C78" s="384" t="s">
        <v>18</v>
      </c>
      <c r="D78" s="384" t="s">
        <v>20</v>
      </c>
      <c r="E78" s="384" t="s">
        <v>24</v>
      </c>
      <c r="F78" s="384" t="s">
        <v>30</v>
      </c>
      <c r="G78" s="384" t="s">
        <v>3</v>
      </c>
    </row>
    <row r="79" spans="1:7" x14ac:dyDescent="0.25">
      <c r="A79" t="s">
        <v>373</v>
      </c>
      <c r="B79" s="10"/>
      <c r="C79" s="10"/>
      <c r="D79" s="10"/>
      <c r="E79" s="10"/>
    </row>
    <row r="80" spans="1:7" x14ac:dyDescent="0.25">
      <c r="A80" t="s">
        <v>349</v>
      </c>
      <c r="B80" s="10"/>
      <c r="C80" s="10"/>
      <c r="D80" s="10"/>
      <c r="E80" s="10"/>
    </row>
    <row r="81" spans="1:7" x14ac:dyDescent="0.25">
      <c r="A81" t="s">
        <v>324</v>
      </c>
      <c r="B81" s="10"/>
      <c r="C81" s="10"/>
      <c r="D81" s="10"/>
      <c r="E81" s="10"/>
    </row>
    <row r="82" spans="1:7" x14ac:dyDescent="0.25">
      <c r="A82" t="s">
        <v>339</v>
      </c>
      <c r="B82" s="10"/>
      <c r="C82" s="10"/>
      <c r="D82" s="10"/>
      <c r="E82" s="10"/>
    </row>
    <row r="83" spans="1:7" x14ac:dyDescent="0.25">
      <c r="A83" t="s">
        <v>227</v>
      </c>
      <c r="B83" s="10"/>
      <c r="C83" s="10"/>
      <c r="D83" s="10"/>
      <c r="E83" s="10"/>
    </row>
    <row r="84" spans="1:7" x14ac:dyDescent="0.25">
      <c r="A84" t="s">
        <v>341</v>
      </c>
      <c r="B84" s="10"/>
      <c r="C84" s="10"/>
      <c r="D84" s="10"/>
      <c r="E84" s="10"/>
      <c r="F84" s="35"/>
    </row>
    <row r="85" spans="1:7" x14ac:dyDescent="0.25">
      <c r="A85" s="258" t="s">
        <v>362</v>
      </c>
      <c r="B85" s="10">
        <f>+E40/E1</f>
        <v>516.66666666666663</v>
      </c>
      <c r="C85" s="10">
        <f>+E43</f>
        <v>1500</v>
      </c>
      <c r="D85" s="10">
        <f>+E44+E45</f>
        <v>600</v>
      </c>
      <c r="E85" s="10">
        <f>+E34</f>
        <v>2338</v>
      </c>
      <c r="F85" s="35">
        <f>+E54</f>
        <v>1400</v>
      </c>
    </row>
    <row r="86" spans="1:7" x14ac:dyDescent="0.25">
      <c r="A86" s="258" t="s">
        <v>344</v>
      </c>
      <c r="B86" s="10">
        <f>+B85</f>
        <v>516.66666666666663</v>
      </c>
      <c r="C86" s="10"/>
      <c r="D86" s="10"/>
      <c r="E86" s="10"/>
    </row>
    <row r="87" spans="1:7" x14ac:dyDescent="0.25">
      <c r="A87" s="258" t="s">
        <v>346</v>
      </c>
      <c r="B87" s="10">
        <f>+B86</f>
        <v>516.66666666666663</v>
      </c>
      <c r="C87" s="10"/>
      <c r="D87" s="10"/>
      <c r="E87" s="10"/>
    </row>
    <row r="88" spans="1:7" x14ac:dyDescent="0.25">
      <c r="A88" t="s">
        <v>374</v>
      </c>
      <c r="B88" s="10"/>
      <c r="C88" s="10"/>
      <c r="D88" s="10"/>
      <c r="E88" s="10"/>
    </row>
    <row r="89" spans="1:7" x14ac:dyDescent="0.25">
      <c r="A89" t="s">
        <v>296</v>
      </c>
      <c r="B89" s="10"/>
      <c r="C89" s="10"/>
      <c r="D89" s="10"/>
      <c r="E89" s="10"/>
      <c r="F89" s="35"/>
    </row>
    <row r="90" spans="1:7" x14ac:dyDescent="0.25">
      <c r="A90" t="s">
        <v>348</v>
      </c>
      <c r="B90" s="10"/>
      <c r="C90" s="10"/>
      <c r="D90" s="10"/>
      <c r="E90" s="10"/>
      <c r="F90" s="35"/>
    </row>
    <row r="92" spans="1:7" x14ac:dyDescent="0.25">
      <c r="B92" s="7">
        <f>SUM(B79:B91)</f>
        <v>1550</v>
      </c>
      <c r="C92" s="7">
        <f t="shared" ref="C92:F92" si="1">SUM(C79:C91)</f>
        <v>1500</v>
      </c>
      <c r="D92" s="7">
        <f t="shared" si="1"/>
        <v>600</v>
      </c>
      <c r="E92" s="7">
        <f t="shared" si="1"/>
        <v>2338</v>
      </c>
      <c r="F92" s="7">
        <f t="shared" si="1"/>
        <v>1400</v>
      </c>
      <c r="G92" s="7">
        <f>+SUM(B92:F92)</f>
        <v>7388</v>
      </c>
    </row>
    <row r="93" spans="1:7" x14ac:dyDescent="0.25">
      <c r="A93" t="s">
        <v>379</v>
      </c>
      <c r="B93" s="35"/>
      <c r="C93" s="7"/>
      <c r="D93" s="7"/>
      <c r="E93" s="35"/>
      <c r="F93" s="35"/>
      <c r="G93" s="35">
        <f>+G92-E56</f>
        <v>0</v>
      </c>
    </row>
  </sheetData>
  <mergeCells count="8">
    <mergeCell ref="A77:E77"/>
    <mergeCell ref="A2:A3"/>
    <mergeCell ref="C5:E5"/>
    <mergeCell ref="C6:D6"/>
    <mergeCell ref="C7:D7"/>
    <mergeCell ref="C8:D8"/>
    <mergeCell ref="A13:E13"/>
    <mergeCell ref="A28:E28"/>
  </mergeCells>
  <pageMargins left="0.7" right="0.7" top="0.75" bottom="0.2" header="0.3" footer="0.3"/>
  <pageSetup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19</vt:i4>
      </vt:variant>
    </vt:vector>
  </HeadingPairs>
  <TitlesOfParts>
    <vt:vector size="45" baseType="lpstr">
      <vt:lpstr>Questions</vt:lpstr>
      <vt:lpstr>Income Statement</vt:lpstr>
      <vt:lpstr>Prior Budget Comparison</vt:lpstr>
      <vt:lpstr>State Income Statement</vt:lpstr>
      <vt:lpstr>Current Year IS</vt:lpstr>
      <vt:lpstr>SCH A Expense Schedules</vt:lpstr>
      <vt:lpstr>Sch B Loan</vt:lpstr>
      <vt:lpstr>Sch C Cash Flows</vt:lpstr>
      <vt:lpstr>Sch D Employee Compensation</vt:lpstr>
      <vt:lpstr>Sch F Fee Schedule</vt:lpstr>
      <vt:lpstr>Sch G Scholarship Distribution</vt:lpstr>
      <vt:lpstr>Sch H Rap Tax Interest</vt:lpstr>
      <vt:lpstr>Sch I Property Tax Income</vt:lpstr>
      <vt:lpstr>Sch E Program Summary</vt:lpstr>
      <vt:lpstr>Sch F Program Exp by Month</vt:lpstr>
      <vt:lpstr>Mar Youth Volleyball</vt:lpstr>
      <vt:lpstr>Apr-May Flag Football</vt:lpstr>
      <vt:lpstr>May-Jun Baseball &amp; Softball</vt:lpstr>
      <vt:lpstr>Group Training-April</vt:lpstr>
      <vt:lpstr>Equestrian May to Aug</vt:lpstr>
      <vt:lpstr>Aug-Sep Soccer</vt:lpstr>
      <vt:lpstr>Dec-Feb Basketball</vt:lpstr>
      <vt:lpstr>Nov 3on3 Basketball</vt:lpstr>
      <vt:lpstr>Jun-Adult Volleyball</vt:lpstr>
      <vt:lpstr>Jun-Basketball Camp</vt:lpstr>
      <vt:lpstr>Jul-Sep Tackle Football</vt:lpstr>
      <vt:lpstr>'Apr-May Flag Football'!Print_Area</vt:lpstr>
      <vt:lpstr>'Aug-Sep Soccer'!Print_Area</vt:lpstr>
      <vt:lpstr>'Dec-Feb Basketball'!Print_Area</vt:lpstr>
      <vt:lpstr>'Equestrian May to Aug'!Print_Area</vt:lpstr>
      <vt:lpstr>'Group Training-April'!Print_Area</vt:lpstr>
      <vt:lpstr>'Income Statement'!Print_Area</vt:lpstr>
      <vt:lpstr>'Jul-Sep Tackle Football'!Print_Area</vt:lpstr>
      <vt:lpstr>'Jun-Adult Volleyball'!Print_Area</vt:lpstr>
      <vt:lpstr>'Jun-Basketball Camp'!Print_Area</vt:lpstr>
      <vt:lpstr>'Mar Youth Volleyball'!Print_Area</vt:lpstr>
      <vt:lpstr>'May-Jun Baseball &amp; Softball'!Print_Area</vt:lpstr>
      <vt:lpstr>'Nov 3on3 Basketball'!Print_Area</vt:lpstr>
      <vt:lpstr>'Prior Budget Comparison'!Print_Area</vt:lpstr>
      <vt:lpstr>Questions!Print_Area</vt:lpstr>
      <vt:lpstr>'SCH A Expense Schedules'!Print_Area</vt:lpstr>
      <vt:lpstr>'Sch C Cash Flows'!Print_Area</vt:lpstr>
      <vt:lpstr>'Sch E Program Summary'!Print_Area</vt:lpstr>
      <vt:lpstr>'Sch F Fee Schedule'!Print_Area</vt:lpstr>
      <vt:lpstr>'Income Statement'!Print_Titles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Derrick Peterson</dc:creator>
  <cp:keywords/>
  <dc:description/>
  <cp:lastModifiedBy>Wes Chappell</cp:lastModifiedBy>
  <cp:revision/>
  <dcterms:created xsi:type="dcterms:W3CDTF">2020-09-17T22:59:18Z</dcterms:created>
  <dcterms:modified xsi:type="dcterms:W3CDTF">2023-10-23T02:24:24Z</dcterms:modified>
  <cp:category/>
  <cp:contentStatus/>
</cp:coreProperties>
</file>